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0"/>
  </bookViews>
  <sheets>
    <sheet name="INFO" sheetId="1" r:id="rId1"/>
    <sheet name="-8G" sheetId="2" r:id="rId2"/>
    <sheet name="-8B" sheetId="3" r:id="rId3"/>
    <sheet name="9-10G" sheetId="4" r:id="rId4"/>
    <sheet name="9-10B" sheetId="5" r:id="rId5"/>
    <sheet name="11-12G" sheetId="6" r:id="rId6"/>
    <sheet name="11-12B" sheetId="7" r:id="rId7"/>
    <sheet name="13-14G" sheetId="8" r:id="rId8"/>
    <sheet name="13-14B" sheetId="9" r:id="rId9"/>
    <sheet name="15+G" sheetId="10" r:id="rId10"/>
    <sheet name="15+B" sheetId="11" r:id="rId11"/>
    <sheet name="DD" sheetId="12" r:id="rId1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3" i="11" l="1"/>
  <c r="R123" i="11"/>
  <c r="O121" i="11"/>
  <c r="G121" i="11"/>
  <c r="N121" i="11" s="1"/>
  <c r="F121" i="11"/>
  <c r="G120" i="11"/>
  <c r="N120" i="11" s="1"/>
  <c r="O120" i="11" s="1"/>
  <c r="F120" i="11"/>
  <c r="G119" i="11"/>
  <c r="N119" i="11" s="1"/>
  <c r="O119" i="11" s="1"/>
  <c r="F119" i="11"/>
  <c r="O118" i="11"/>
  <c r="G118" i="11"/>
  <c r="N118" i="11" s="1"/>
  <c r="F118" i="11"/>
  <c r="O117" i="11"/>
  <c r="G117" i="11"/>
  <c r="N117" i="11" s="1"/>
  <c r="F117" i="11"/>
  <c r="G116" i="11"/>
  <c r="N116" i="11" s="1"/>
  <c r="O116" i="11" s="1"/>
  <c r="R24" i="11" s="1"/>
  <c r="F116" i="11"/>
  <c r="G115" i="11"/>
  <c r="N115" i="11" s="1"/>
  <c r="O115" i="11" s="1"/>
  <c r="F115" i="11"/>
  <c r="O114" i="11"/>
  <c r="G114" i="11"/>
  <c r="N114" i="11" s="1"/>
  <c r="F114" i="11"/>
  <c r="O113" i="11"/>
  <c r="G113" i="11"/>
  <c r="N113" i="11" s="1"/>
  <c r="F113" i="11"/>
  <c r="G112" i="11"/>
  <c r="N112" i="11" s="1"/>
  <c r="O112" i="11" s="1"/>
  <c r="F112" i="11"/>
  <c r="G111" i="11"/>
  <c r="N111" i="11" s="1"/>
  <c r="O111" i="11" s="1"/>
  <c r="R23" i="11" s="1"/>
  <c r="F111" i="11"/>
  <c r="O110" i="11"/>
  <c r="G110" i="11"/>
  <c r="N110" i="11" s="1"/>
  <c r="F110" i="11"/>
  <c r="O109" i="11"/>
  <c r="G109" i="11"/>
  <c r="N109" i="11" s="1"/>
  <c r="F109" i="11"/>
  <c r="G108" i="11"/>
  <c r="N108" i="11" s="1"/>
  <c r="O108" i="11" s="1"/>
  <c r="F108" i="11"/>
  <c r="G107" i="11"/>
  <c r="N107" i="11" s="1"/>
  <c r="O107" i="11" s="1"/>
  <c r="F107" i="11"/>
  <c r="O106" i="11"/>
  <c r="G106" i="11"/>
  <c r="N106" i="11" s="1"/>
  <c r="F106" i="11"/>
  <c r="O105" i="11"/>
  <c r="G105" i="11"/>
  <c r="N105" i="11" s="1"/>
  <c r="F105" i="11"/>
  <c r="G104" i="11"/>
  <c r="N104" i="11" s="1"/>
  <c r="O104" i="11" s="1"/>
  <c r="F104" i="11"/>
  <c r="G103" i="11"/>
  <c r="N103" i="11" s="1"/>
  <c r="O103" i="11" s="1"/>
  <c r="F103" i="11"/>
  <c r="O102" i="11"/>
  <c r="G102" i="11"/>
  <c r="N102" i="11" s="1"/>
  <c r="F102" i="11"/>
  <c r="O101" i="11"/>
  <c r="G101" i="11"/>
  <c r="N101" i="11" s="1"/>
  <c r="F101" i="11"/>
  <c r="G100" i="11"/>
  <c r="N100" i="11" s="1"/>
  <c r="O100" i="11" s="1"/>
  <c r="F100" i="11"/>
  <c r="G99" i="11"/>
  <c r="N99" i="11" s="1"/>
  <c r="O99" i="11" s="1"/>
  <c r="F99" i="11"/>
  <c r="O98" i="11"/>
  <c r="G98" i="11"/>
  <c r="N98" i="11" s="1"/>
  <c r="F98" i="11"/>
  <c r="O97" i="11"/>
  <c r="G97" i="11"/>
  <c r="N97" i="11" s="1"/>
  <c r="F97" i="11"/>
  <c r="G96" i="11"/>
  <c r="N96" i="11" s="1"/>
  <c r="O96" i="11" s="1"/>
  <c r="F96" i="11"/>
  <c r="G95" i="11"/>
  <c r="N95" i="11" s="1"/>
  <c r="O95" i="11" s="1"/>
  <c r="F95" i="11"/>
  <c r="O94" i="11"/>
  <c r="G94" i="11"/>
  <c r="N94" i="11" s="1"/>
  <c r="F94" i="11"/>
  <c r="O93" i="11"/>
  <c r="G93" i="11"/>
  <c r="N93" i="11" s="1"/>
  <c r="F93" i="11"/>
  <c r="G92" i="11"/>
  <c r="N92" i="11" s="1"/>
  <c r="O92" i="11" s="1"/>
  <c r="F92" i="11"/>
  <c r="G91" i="11"/>
  <c r="N91" i="11" s="1"/>
  <c r="O91" i="11" s="1"/>
  <c r="F91" i="11"/>
  <c r="G90" i="11"/>
  <c r="N90" i="11" s="1"/>
  <c r="O90" i="11" s="1"/>
  <c r="F90" i="11"/>
  <c r="G89" i="11"/>
  <c r="N89" i="11" s="1"/>
  <c r="O89" i="11" s="1"/>
  <c r="F89" i="11"/>
  <c r="G88" i="11"/>
  <c r="N88" i="11" s="1"/>
  <c r="O88" i="11" s="1"/>
  <c r="F88" i="11"/>
  <c r="G87" i="11"/>
  <c r="N87" i="11" s="1"/>
  <c r="O87" i="11" s="1"/>
  <c r="F87" i="11"/>
  <c r="G86" i="11"/>
  <c r="N86" i="11" s="1"/>
  <c r="O86" i="11" s="1"/>
  <c r="F86" i="11"/>
  <c r="G85" i="11"/>
  <c r="N85" i="11" s="1"/>
  <c r="O85" i="11" s="1"/>
  <c r="F85" i="11"/>
  <c r="G84" i="11"/>
  <c r="N84" i="11" s="1"/>
  <c r="O84" i="11" s="1"/>
  <c r="F84" i="11"/>
  <c r="G83" i="11"/>
  <c r="N83" i="11" s="1"/>
  <c r="O83" i="11" s="1"/>
  <c r="F83" i="11"/>
  <c r="G82" i="11"/>
  <c r="N82" i="11" s="1"/>
  <c r="O82" i="11" s="1"/>
  <c r="F82" i="11"/>
  <c r="G81" i="11"/>
  <c r="N81" i="11" s="1"/>
  <c r="O81" i="11" s="1"/>
  <c r="F81" i="11"/>
  <c r="G80" i="11"/>
  <c r="N80" i="11" s="1"/>
  <c r="O80" i="11" s="1"/>
  <c r="F80" i="11"/>
  <c r="G79" i="11"/>
  <c r="N79" i="11" s="1"/>
  <c r="O79" i="11" s="1"/>
  <c r="F79" i="11"/>
  <c r="G78" i="11"/>
  <c r="N78" i="11" s="1"/>
  <c r="O78" i="11" s="1"/>
  <c r="F78" i="11"/>
  <c r="G77" i="11"/>
  <c r="N77" i="11" s="1"/>
  <c r="O77" i="11" s="1"/>
  <c r="F77" i="11"/>
  <c r="G76" i="11"/>
  <c r="N76" i="11" s="1"/>
  <c r="O76" i="11" s="1"/>
  <c r="F76" i="11"/>
  <c r="G75" i="11"/>
  <c r="N75" i="11" s="1"/>
  <c r="O75" i="11" s="1"/>
  <c r="F75" i="11"/>
  <c r="G74" i="11"/>
  <c r="N74" i="11" s="1"/>
  <c r="O74" i="11" s="1"/>
  <c r="F74" i="11"/>
  <c r="G73" i="11"/>
  <c r="N73" i="11" s="1"/>
  <c r="O73" i="11" s="1"/>
  <c r="F73" i="11"/>
  <c r="G72" i="11"/>
  <c r="N72" i="11" s="1"/>
  <c r="O72" i="11" s="1"/>
  <c r="F72" i="11"/>
  <c r="G71" i="11"/>
  <c r="N71" i="11" s="1"/>
  <c r="O71" i="11" s="1"/>
  <c r="F71" i="11"/>
  <c r="G70" i="11"/>
  <c r="N70" i="11" s="1"/>
  <c r="O70" i="11" s="1"/>
  <c r="F70" i="11"/>
  <c r="G69" i="11"/>
  <c r="N69" i="11" s="1"/>
  <c r="O69" i="11" s="1"/>
  <c r="F69" i="11"/>
  <c r="G68" i="11"/>
  <c r="N68" i="11" s="1"/>
  <c r="O68" i="11" s="1"/>
  <c r="F68" i="11"/>
  <c r="G67" i="11"/>
  <c r="N67" i="11" s="1"/>
  <c r="O67" i="11" s="1"/>
  <c r="F67" i="11"/>
  <c r="G66" i="11"/>
  <c r="N66" i="11" s="1"/>
  <c r="F66" i="11"/>
  <c r="G65" i="11"/>
  <c r="N65" i="11" s="1"/>
  <c r="F65" i="11"/>
  <c r="G64" i="11"/>
  <c r="N64" i="11" s="1"/>
  <c r="F64" i="11"/>
  <c r="G63" i="11"/>
  <c r="N63" i="11" s="1"/>
  <c r="F63" i="11"/>
  <c r="G62" i="11"/>
  <c r="N62" i="11" s="1"/>
  <c r="O62" i="11" s="1"/>
  <c r="F62" i="11"/>
  <c r="G61" i="11"/>
  <c r="N61" i="11" s="1"/>
  <c r="F61" i="11"/>
  <c r="G60" i="11"/>
  <c r="N60" i="11" s="1"/>
  <c r="F60" i="11"/>
  <c r="G59" i="11"/>
  <c r="N59" i="11" s="1"/>
  <c r="F59" i="11"/>
  <c r="G58" i="11"/>
  <c r="N58" i="11" s="1"/>
  <c r="O58" i="11" s="1"/>
  <c r="F58" i="11"/>
  <c r="G57" i="11"/>
  <c r="N57" i="11" s="1"/>
  <c r="O57" i="11" s="1"/>
  <c r="F57" i="11"/>
  <c r="G56" i="11"/>
  <c r="N56" i="11" s="1"/>
  <c r="F56" i="11"/>
  <c r="G55" i="11"/>
  <c r="N55" i="11" s="1"/>
  <c r="F55" i="11"/>
  <c r="G54" i="11"/>
  <c r="N54" i="11" s="1"/>
  <c r="F54" i="11"/>
  <c r="G53" i="11"/>
  <c r="N53" i="11" s="1"/>
  <c r="F53" i="11"/>
  <c r="G52" i="11"/>
  <c r="N52" i="11" s="1"/>
  <c r="O52" i="11" s="1"/>
  <c r="F52" i="11"/>
  <c r="G51" i="11"/>
  <c r="N51" i="11" s="1"/>
  <c r="F51" i="11"/>
  <c r="G50" i="11"/>
  <c r="N50" i="11" s="1"/>
  <c r="F50" i="11"/>
  <c r="G49" i="11"/>
  <c r="N49" i="11" s="1"/>
  <c r="F49" i="11"/>
  <c r="G48" i="11"/>
  <c r="N48" i="11" s="1"/>
  <c r="O48" i="11" s="1"/>
  <c r="F48" i="11"/>
  <c r="G47" i="11"/>
  <c r="N47" i="11" s="1"/>
  <c r="O47" i="11" s="1"/>
  <c r="F47" i="11"/>
  <c r="G46" i="11"/>
  <c r="N46" i="11" s="1"/>
  <c r="F46" i="11"/>
  <c r="G45" i="11"/>
  <c r="N45" i="11" s="1"/>
  <c r="F45" i="11"/>
  <c r="G44" i="11"/>
  <c r="N44" i="11" s="1"/>
  <c r="F44" i="11"/>
  <c r="G43" i="11"/>
  <c r="N43" i="11" s="1"/>
  <c r="F43" i="11"/>
  <c r="G42" i="11"/>
  <c r="N42" i="11" s="1"/>
  <c r="O42" i="11" s="1"/>
  <c r="F42" i="11"/>
  <c r="G41" i="11"/>
  <c r="N41" i="11" s="1"/>
  <c r="F41" i="11"/>
  <c r="G40" i="11"/>
  <c r="N40" i="11" s="1"/>
  <c r="F40" i="11"/>
  <c r="G39" i="11"/>
  <c r="N39" i="11" s="1"/>
  <c r="F39" i="11"/>
  <c r="G38" i="11"/>
  <c r="N38" i="11" s="1"/>
  <c r="F38" i="11"/>
  <c r="G37" i="11"/>
  <c r="N37" i="11" s="1"/>
  <c r="O37" i="11" s="1"/>
  <c r="F37" i="11"/>
  <c r="N36" i="11"/>
  <c r="G36" i="11"/>
  <c r="F36" i="11"/>
  <c r="G35" i="11"/>
  <c r="N35" i="11" s="1"/>
  <c r="F35" i="11"/>
  <c r="N34" i="11"/>
  <c r="G34" i="11"/>
  <c r="F34" i="11"/>
  <c r="G33" i="11"/>
  <c r="N33" i="11" s="1"/>
  <c r="O33" i="11" s="1"/>
  <c r="F33" i="11"/>
  <c r="N32" i="11"/>
  <c r="O32" i="11" s="1"/>
  <c r="G32" i="11"/>
  <c r="F32" i="11"/>
  <c r="G31" i="11"/>
  <c r="N31" i="11" s="1"/>
  <c r="F31" i="11"/>
  <c r="N30" i="11"/>
  <c r="G30" i="11"/>
  <c r="F30" i="11"/>
  <c r="G29" i="11"/>
  <c r="N29" i="11" s="1"/>
  <c r="F29" i="11"/>
  <c r="N28" i="11"/>
  <c r="G28" i="11"/>
  <c r="F28" i="11"/>
  <c r="G27" i="11"/>
  <c r="N27" i="11" s="1"/>
  <c r="O27" i="11" s="1"/>
  <c r="F27" i="11"/>
  <c r="N26" i="11"/>
  <c r="G26" i="11"/>
  <c r="F26" i="11"/>
  <c r="T25" i="11"/>
  <c r="S25" i="11"/>
  <c r="R25" i="11"/>
  <c r="G25" i="11"/>
  <c r="N25" i="11" s="1"/>
  <c r="F25" i="11"/>
  <c r="T24" i="11"/>
  <c r="S24" i="11"/>
  <c r="G24" i="11"/>
  <c r="N24" i="11" s="1"/>
  <c r="F24" i="11"/>
  <c r="T23" i="11"/>
  <c r="S23" i="11"/>
  <c r="G23" i="11"/>
  <c r="N23" i="11" s="1"/>
  <c r="F23" i="11"/>
  <c r="T22" i="11"/>
  <c r="S22" i="11"/>
  <c r="R22" i="11"/>
  <c r="G22" i="11"/>
  <c r="N22" i="11" s="1"/>
  <c r="O22" i="11" s="1"/>
  <c r="F22" i="11"/>
  <c r="T21" i="11"/>
  <c r="S21" i="11"/>
  <c r="R21" i="11"/>
  <c r="G21" i="11"/>
  <c r="N21" i="11" s="1"/>
  <c r="F21" i="11"/>
  <c r="T20" i="11"/>
  <c r="S20" i="11"/>
  <c r="R20" i="11"/>
  <c r="N20" i="11"/>
  <c r="G20" i="11"/>
  <c r="F20" i="11"/>
  <c r="T19" i="11"/>
  <c r="S19" i="11"/>
  <c r="R19" i="11"/>
  <c r="G19" i="11"/>
  <c r="N19" i="11" s="1"/>
  <c r="F19" i="11"/>
  <c r="T18" i="11"/>
  <c r="S18" i="11"/>
  <c r="R18" i="11"/>
  <c r="G18" i="11"/>
  <c r="N18" i="11" s="1"/>
  <c r="F18" i="11"/>
  <c r="T17" i="11"/>
  <c r="S17" i="11"/>
  <c r="R17" i="11"/>
  <c r="G17" i="11"/>
  <c r="N17" i="11" s="1"/>
  <c r="O17" i="11" s="1"/>
  <c r="F17" i="11"/>
  <c r="T16" i="11"/>
  <c r="S16" i="11"/>
  <c r="R16" i="11"/>
  <c r="N16" i="11"/>
  <c r="G16" i="11"/>
  <c r="F16" i="11"/>
  <c r="T15" i="11"/>
  <c r="S15" i="11"/>
  <c r="R15" i="11"/>
  <c r="G15" i="11"/>
  <c r="N15" i="11" s="1"/>
  <c r="F15" i="11"/>
  <c r="T14" i="11"/>
  <c r="S14" i="11"/>
  <c r="G14" i="11"/>
  <c r="N14" i="11" s="1"/>
  <c r="F14" i="11"/>
  <c r="T13" i="11"/>
  <c r="S13" i="11"/>
  <c r="G13" i="11"/>
  <c r="N13" i="11" s="1"/>
  <c r="F13" i="11"/>
  <c r="T12" i="11"/>
  <c r="S12" i="11"/>
  <c r="N12" i="11"/>
  <c r="O12" i="11" s="1"/>
  <c r="G12" i="11"/>
  <c r="F12" i="11"/>
  <c r="T11" i="11"/>
  <c r="S11" i="11"/>
  <c r="G11" i="11"/>
  <c r="N11" i="11" s="1"/>
  <c r="F11" i="11"/>
  <c r="T10" i="11"/>
  <c r="S10" i="11"/>
  <c r="N10" i="11"/>
  <c r="G10" i="11"/>
  <c r="F10" i="11"/>
  <c r="T9" i="11"/>
  <c r="S9" i="11"/>
  <c r="G9" i="11"/>
  <c r="N9" i="11" s="1"/>
  <c r="F9" i="11"/>
  <c r="T8" i="11"/>
  <c r="S8" i="11"/>
  <c r="N8" i="11"/>
  <c r="G8" i="11"/>
  <c r="F8" i="11"/>
  <c r="T7" i="11"/>
  <c r="S7" i="11"/>
  <c r="G7" i="11"/>
  <c r="N7" i="11" s="1"/>
  <c r="O7" i="11" s="1"/>
  <c r="F7" i="11"/>
  <c r="T6" i="11"/>
  <c r="S6" i="11"/>
  <c r="G6" i="11"/>
  <c r="N6" i="11" s="1"/>
  <c r="O6" i="11" s="1"/>
  <c r="R2" i="11" s="1"/>
  <c r="F6" i="11"/>
  <c r="T5" i="11"/>
  <c r="S5" i="11"/>
  <c r="G5" i="11"/>
  <c r="N5" i="11" s="1"/>
  <c r="O5" i="11" s="1"/>
  <c r="F5" i="11"/>
  <c r="T4" i="11"/>
  <c r="S4" i="11"/>
  <c r="N4" i="11"/>
  <c r="O4" i="11" s="1"/>
  <c r="G4" i="11"/>
  <c r="F4" i="11"/>
  <c r="T3" i="11"/>
  <c r="S3" i="11"/>
  <c r="G3" i="11"/>
  <c r="N3" i="11" s="1"/>
  <c r="O3" i="11" s="1"/>
  <c r="F3" i="11"/>
  <c r="T2" i="11"/>
  <c r="S2" i="11"/>
  <c r="N2" i="11"/>
  <c r="O2" i="11" s="1"/>
  <c r="G2" i="11"/>
  <c r="F2" i="11"/>
  <c r="S123" i="10"/>
  <c r="R123" i="10"/>
  <c r="G121" i="10"/>
  <c r="N121" i="10" s="1"/>
  <c r="O121" i="10" s="1"/>
  <c r="F121" i="10"/>
  <c r="G120" i="10"/>
  <c r="N120" i="10" s="1"/>
  <c r="O120" i="10" s="1"/>
  <c r="F120" i="10"/>
  <c r="G119" i="10"/>
  <c r="N119" i="10" s="1"/>
  <c r="O119" i="10" s="1"/>
  <c r="F119" i="10"/>
  <c r="G118" i="10"/>
  <c r="N118" i="10" s="1"/>
  <c r="O118" i="10" s="1"/>
  <c r="F118" i="10"/>
  <c r="G117" i="10"/>
  <c r="N117" i="10" s="1"/>
  <c r="O117" i="10" s="1"/>
  <c r="F117" i="10"/>
  <c r="G116" i="10"/>
  <c r="N116" i="10" s="1"/>
  <c r="O116" i="10" s="1"/>
  <c r="R24" i="10" s="1"/>
  <c r="F116" i="10"/>
  <c r="G115" i="10"/>
  <c r="N115" i="10" s="1"/>
  <c r="O115" i="10" s="1"/>
  <c r="F115" i="10"/>
  <c r="G114" i="10"/>
  <c r="N114" i="10" s="1"/>
  <c r="O114" i="10" s="1"/>
  <c r="F114" i="10"/>
  <c r="G113" i="10"/>
  <c r="N113" i="10" s="1"/>
  <c r="O113" i="10" s="1"/>
  <c r="F113" i="10"/>
  <c r="G112" i="10"/>
  <c r="N112" i="10" s="1"/>
  <c r="O112" i="10" s="1"/>
  <c r="F112" i="10"/>
  <c r="G111" i="10"/>
  <c r="N111" i="10" s="1"/>
  <c r="O111" i="10" s="1"/>
  <c r="R23" i="10" s="1"/>
  <c r="F111" i="10"/>
  <c r="G110" i="10"/>
  <c r="N110" i="10" s="1"/>
  <c r="O110" i="10" s="1"/>
  <c r="F110" i="10"/>
  <c r="G109" i="10"/>
  <c r="N109" i="10" s="1"/>
  <c r="O109" i="10" s="1"/>
  <c r="F109" i="10"/>
  <c r="G108" i="10"/>
  <c r="N108" i="10" s="1"/>
  <c r="O108" i="10" s="1"/>
  <c r="F108" i="10"/>
  <c r="G107" i="10"/>
  <c r="N107" i="10" s="1"/>
  <c r="O107" i="10" s="1"/>
  <c r="F107" i="10"/>
  <c r="G106" i="10"/>
  <c r="N106" i="10" s="1"/>
  <c r="O106" i="10" s="1"/>
  <c r="F106" i="10"/>
  <c r="G105" i="10"/>
  <c r="N105" i="10" s="1"/>
  <c r="O105" i="10" s="1"/>
  <c r="F105" i="10"/>
  <c r="G104" i="10"/>
  <c r="N104" i="10" s="1"/>
  <c r="O104" i="10" s="1"/>
  <c r="F104" i="10"/>
  <c r="G103" i="10"/>
  <c r="N103" i="10" s="1"/>
  <c r="O103" i="10" s="1"/>
  <c r="F103" i="10"/>
  <c r="G102" i="10"/>
  <c r="N102" i="10" s="1"/>
  <c r="O102" i="10" s="1"/>
  <c r="F102" i="10"/>
  <c r="G101" i="10"/>
  <c r="N101" i="10" s="1"/>
  <c r="O101" i="10" s="1"/>
  <c r="F101" i="10"/>
  <c r="G100" i="10"/>
  <c r="N100" i="10" s="1"/>
  <c r="O100" i="10" s="1"/>
  <c r="F100" i="10"/>
  <c r="G99" i="10"/>
  <c r="N99" i="10" s="1"/>
  <c r="O99" i="10" s="1"/>
  <c r="F99" i="10"/>
  <c r="G98" i="10"/>
  <c r="N98" i="10" s="1"/>
  <c r="O98" i="10" s="1"/>
  <c r="F98" i="10"/>
  <c r="G97" i="10"/>
  <c r="N97" i="10" s="1"/>
  <c r="O97" i="10" s="1"/>
  <c r="F97" i="10"/>
  <c r="G96" i="10"/>
  <c r="N96" i="10" s="1"/>
  <c r="O96" i="10" s="1"/>
  <c r="R20" i="10" s="1"/>
  <c r="F96" i="10"/>
  <c r="G95" i="10"/>
  <c r="N95" i="10" s="1"/>
  <c r="O95" i="10" s="1"/>
  <c r="F95" i="10"/>
  <c r="G94" i="10"/>
  <c r="N94" i="10" s="1"/>
  <c r="O94" i="10" s="1"/>
  <c r="F94" i="10"/>
  <c r="G93" i="10"/>
  <c r="N93" i="10" s="1"/>
  <c r="O93" i="10" s="1"/>
  <c r="F93" i="10"/>
  <c r="G92" i="10"/>
  <c r="N92" i="10" s="1"/>
  <c r="O92" i="10" s="1"/>
  <c r="F92" i="10"/>
  <c r="G91" i="10"/>
  <c r="N91" i="10" s="1"/>
  <c r="O91" i="10" s="1"/>
  <c r="R19" i="10" s="1"/>
  <c r="F91" i="10"/>
  <c r="G90" i="10"/>
  <c r="N90" i="10" s="1"/>
  <c r="O90" i="10" s="1"/>
  <c r="F90" i="10"/>
  <c r="G89" i="10"/>
  <c r="N89" i="10" s="1"/>
  <c r="O89" i="10" s="1"/>
  <c r="F89" i="10"/>
  <c r="G88" i="10"/>
  <c r="N88" i="10" s="1"/>
  <c r="O88" i="10" s="1"/>
  <c r="F88" i="10"/>
  <c r="G87" i="10"/>
  <c r="N87" i="10" s="1"/>
  <c r="O87" i="10" s="1"/>
  <c r="F87" i="10"/>
  <c r="G86" i="10"/>
  <c r="N86" i="10" s="1"/>
  <c r="O86" i="10" s="1"/>
  <c r="F86" i="10"/>
  <c r="G85" i="10"/>
  <c r="N85" i="10" s="1"/>
  <c r="O85" i="10" s="1"/>
  <c r="F85" i="10"/>
  <c r="G84" i="10"/>
  <c r="N84" i="10" s="1"/>
  <c r="O84" i="10" s="1"/>
  <c r="F84" i="10"/>
  <c r="G83" i="10"/>
  <c r="N83" i="10" s="1"/>
  <c r="O83" i="10" s="1"/>
  <c r="F83" i="10"/>
  <c r="G82" i="10"/>
  <c r="N82" i="10" s="1"/>
  <c r="O82" i="10" s="1"/>
  <c r="F82" i="10"/>
  <c r="G81" i="10"/>
  <c r="N81" i="10" s="1"/>
  <c r="O81" i="10" s="1"/>
  <c r="F81" i="10"/>
  <c r="G80" i="10"/>
  <c r="N80" i="10" s="1"/>
  <c r="O80" i="10" s="1"/>
  <c r="F80" i="10"/>
  <c r="G79" i="10"/>
  <c r="N79" i="10" s="1"/>
  <c r="O79" i="10" s="1"/>
  <c r="F79" i="10"/>
  <c r="G78" i="10"/>
  <c r="N78" i="10" s="1"/>
  <c r="O78" i="10" s="1"/>
  <c r="F78" i="10"/>
  <c r="G77" i="10"/>
  <c r="N77" i="10" s="1"/>
  <c r="O77" i="10" s="1"/>
  <c r="F77" i="10"/>
  <c r="G76" i="10"/>
  <c r="N76" i="10" s="1"/>
  <c r="O76" i="10" s="1"/>
  <c r="R16" i="10" s="1"/>
  <c r="F76" i="10"/>
  <c r="G75" i="10"/>
  <c r="N75" i="10" s="1"/>
  <c r="O75" i="10" s="1"/>
  <c r="F75" i="10"/>
  <c r="G74" i="10"/>
  <c r="N74" i="10" s="1"/>
  <c r="O74" i="10" s="1"/>
  <c r="F74" i="10"/>
  <c r="G73" i="10"/>
  <c r="N73" i="10" s="1"/>
  <c r="O73" i="10" s="1"/>
  <c r="F73" i="10"/>
  <c r="G72" i="10"/>
  <c r="N72" i="10" s="1"/>
  <c r="O72" i="10" s="1"/>
  <c r="F72" i="10"/>
  <c r="G71" i="10"/>
  <c r="N71" i="10" s="1"/>
  <c r="O71" i="10" s="1"/>
  <c r="R15" i="10" s="1"/>
  <c r="F71" i="10"/>
  <c r="G70" i="10"/>
  <c r="N70" i="10" s="1"/>
  <c r="O70" i="10" s="1"/>
  <c r="F70" i="10"/>
  <c r="G69" i="10"/>
  <c r="N69" i="10" s="1"/>
  <c r="O69" i="10" s="1"/>
  <c r="F69" i="10"/>
  <c r="G68" i="10"/>
  <c r="N68" i="10" s="1"/>
  <c r="O68" i="10" s="1"/>
  <c r="F68" i="10"/>
  <c r="G67" i="10"/>
  <c r="N67" i="10" s="1"/>
  <c r="O67" i="10" s="1"/>
  <c r="F67" i="10"/>
  <c r="G66" i="10"/>
  <c r="N66" i="10" s="1"/>
  <c r="O66" i="10" s="1"/>
  <c r="F66" i="10"/>
  <c r="G65" i="10"/>
  <c r="N65" i="10" s="1"/>
  <c r="O65" i="10" s="1"/>
  <c r="F65" i="10"/>
  <c r="G64" i="10"/>
  <c r="N64" i="10" s="1"/>
  <c r="O64" i="10" s="1"/>
  <c r="F64" i="10"/>
  <c r="G63" i="10"/>
  <c r="N63" i="10" s="1"/>
  <c r="O63" i="10" s="1"/>
  <c r="F63" i="10"/>
  <c r="G62" i="10"/>
  <c r="N62" i="10" s="1"/>
  <c r="O62" i="10" s="1"/>
  <c r="F62" i="10"/>
  <c r="G61" i="10"/>
  <c r="N61" i="10" s="1"/>
  <c r="F61" i="10"/>
  <c r="G60" i="10"/>
  <c r="N60" i="10" s="1"/>
  <c r="F60" i="10"/>
  <c r="G59" i="10"/>
  <c r="N59" i="10" s="1"/>
  <c r="F59" i="10"/>
  <c r="G58" i="10"/>
  <c r="N58" i="10" s="1"/>
  <c r="F58" i="10"/>
  <c r="G57" i="10"/>
  <c r="N57" i="10" s="1"/>
  <c r="O57" i="10" s="1"/>
  <c r="F57" i="10"/>
  <c r="G56" i="10"/>
  <c r="N56" i="10" s="1"/>
  <c r="F56" i="10"/>
  <c r="G55" i="10"/>
  <c r="N55" i="10" s="1"/>
  <c r="F55" i="10"/>
  <c r="G54" i="10"/>
  <c r="N54" i="10" s="1"/>
  <c r="F54" i="10"/>
  <c r="G53" i="10"/>
  <c r="N53" i="10" s="1"/>
  <c r="O53" i="10" s="1"/>
  <c r="F53" i="10"/>
  <c r="G52" i="10"/>
  <c r="N52" i="10" s="1"/>
  <c r="O52" i="10" s="1"/>
  <c r="F52" i="10"/>
  <c r="G51" i="10"/>
  <c r="N51" i="10" s="1"/>
  <c r="F51" i="10"/>
  <c r="G50" i="10"/>
  <c r="N50" i="10" s="1"/>
  <c r="F50" i="10"/>
  <c r="G49" i="10"/>
  <c r="N49" i="10" s="1"/>
  <c r="F49" i="10"/>
  <c r="G48" i="10"/>
  <c r="N48" i="10" s="1"/>
  <c r="F48" i="10"/>
  <c r="G47" i="10"/>
  <c r="N47" i="10" s="1"/>
  <c r="O47" i="10" s="1"/>
  <c r="F47" i="10"/>
  <c r="G46" i="10"/>
  <c r="N46" i="10" s="1"/>
  <c r="F46" i="10"/>
  <c r="G45" i="10"/>
  <c r="N45" i="10" s="1"/>
  <c r="F45" i="10"/>
  <c r="G44" i="10"/>
  <c r="N44" i="10" s="1"/>
  <c r="F44" i="10"/>
  <c r="G43" i="10"/>
  <c r="N43" i="10" s="1"/>
  <c r="O43" i="10" s="1"/>
  <c r="F43" i="10"/>
  <c r="G42" i="10"/>
  <c r="N42" i="10" s="1"/>
  <c r="O42" i="10" s="1"/>
  <c r="F42" i="10"/>
  <c r="G41" i="10"/>
  <c r="N41" i="10" s="1"/>
  <c r="F41" i="10"/>
  <c r="G40" i="10"/>
  <c r="N40" i="10" s="1"/>
  <c r="F40" i="10"/>
  <c r="G39" i="10"/>
  <c r="N39" i="10" s="1"/>
  <c r="F39" i="10"/>
  <c r="G38" i="10"/>
  <c r="N38" i="10" s="1"/>
  <c r="F38" i="10"/>
  <c r="G37" i="10"/>
  <c r="N37" i="10" s="1"/>
  <c r="O37" i="10" s="1"/>
  <c r="F37" i="10"/>
  <c r="G36" i="10"/>
  <c r="N36" i="10" s="1"/>
  <c r="F36" i="10"/>
  <c r="G35" i="10"/>
  <c r="N35" i="10" s="1"/>
  <c r="F35" i="10"/>
  <c r="G34" i="10"/>
  <c r="N34" i="10" s="1"/>
  <c r="F34" i="10"/>
  <c r="G33" i="10"/>
  <c r="N33" i="10" s="1"/>
  <c r="F33" i="10"/>
  <c r="G32" i="10"/>
  <c r="N32" i="10" s="1"/>
  <c r="O32" i="10" s="1"/>
  <c r="F32" i="10"/>
  <c r="G31" i="10"/>
  <c r="N31" i="10" s="1"/>
  <c r="F31" i="10"/>
  <c r="G30" i="10"/>
  <c r="N30" i="10" s="1"/>
  <c r="F30" i="10"/>
  <c r="G29" i="10"/>
  <c r="N29" i="10" s="1"/>
  <c r="F29" i="10"/>
  <c r="G28" i="10"/>
  <c r="N28" i="10" s="1"/>
  <c r="O28" i="10" s="1"/>
  <c r="F28" i="10"/>
  <c r="G27" i="10"/>
  <c r="N27" i="10" s="1"/>
  <c r="O27" i="10" s="1"/>
  <c r="F27" i="10"/>
  <c r="G26" i="10"/>
  <c r="N26" i="10" s="1"/>
  <c r="O26" i="10" s="1"/>
  <c r="F26" i="10"/>
  <c r="T25" i="10"/>
  <c r="S25" i="10"/>
  <c r="R25" i="10"/>
  <c r="N25" i="10"/>
  <c r="G25" i="10"/>
  <c r="F25" i="10"/>
  <c r="T24" i="10"/>
  <c r="S24" i="10"/>
  <c r="N24" i="10"/>
  <c r="O24" i="10" s="1"/>
  <c r="O25" i="10" s="1"/>
  <c r="G24" i="10"/>
  <c r="F24" i="10"/>
  <c r="T23" i="10"/>
  <c r="S23" i="10"/>
  <c r="G23" i="10"/>
  <c r="N23" i="10" s="1"/>
  <c r="O23" i="10" s="1"/>
  <c r="F23" i="10"/>
  <c r="T22" i="10"/>
  <c r="S22" i="10"/>
  <c r="R22" i="10"/>
  <c r="G22" i="10"/>
  <c r="N22" i="10" s="1"/>
  <c r="O22" i="10" s="1"/>
  <c r="F22" i="10"/>
  <c r="T21" i="10"/>
  <c r="S21" i="10"/>
  <c r="R21" i="10"/>
  <c r="N21" i="10"/>
  <c r="G21" i="10"/>
  <c r="F21" i="10"/>
  <c r="T20" i="10"/>
  <c r="S20" i="10"/>
  <c r="N20" i="10"/>
  <c r="G20" i="10"/>
  <c r="F20" i="10"/>
  <c r="T19" i="10"/>
  <c r="S19" i="10"/>
  <c r="N19" i="10"/>
  <c r="G19" i="10"/>
  <c r="F19" i="10"/>
  <c r="T18" i="10"/>
  <c r="S18" i="10"/>
  <c r="R18" i="10"/>
  <c r="G18" i="10"/>
  <c r="N18" i="10" s="1"/>
  <c r="O18" i="10" s="1"/>
  <c r="F18" i="10"/>
  <c r="T17" i="10"/>
  <c r="S17" i="10"/>
  <c r="R17" i="10"/>
  <c r="O17" i="10"/>
  <c r="N17" i="10"/>
  <c r="G17" i="10"/>
  <c r="F17" i="10"/>
  <c r="T16" i="10"/>
  <c r="S16" i="10"/>
  <c r="N16" i="10"/>
  <c r="G16" i="10"/>
  <c r="F16" i="10"/>
  <c r="T15" i="10"/>
  <c r="S15" i="10"/>
  <c r="G15" i="10"/>
  <c r="N15" i="10" s="1"/>
  <c r="F15" i="10"/>
  <c r="T14" i="10"/>
  <c r="S14" i="10"/>
  <c r="R14" i="10"/>
  <c r="G14" i="10"/>
  <c r="N14" i="10" s="1"/>
  <c r="F14" i="10"/>
  <c r="T13" i="10"/>
  <c r="S13" i="10"/>
  <c r="O13" i="10"/>
  <c r="N13" i="10"/>
  <c r="G13" i="10"/>
  <c r="F13" i="10"/>
  <c r="T12" i="10"/>
  <c r="S12" i="10"/>
  <c r="O12" i="10"/>
  <c r="N12" i="10"/>
  <c r="G12" i="10"/>
  <c r="F12" i="10"/>
  <c r="T11" i="10"/>
  <c r="S11" i="10"/>
  <c r="N11" i="10"/>
  <c r="G11" i="10"/>
  <c r="F11" i="10"/>
  <c r="T10" i="10"/>
  <c r="S10" i="10"/>
  <c r="G10" i="10"/>
  <c r="N10" i="10" s="1"/>
  <c r="F10" i="10"/>
  <c r="T9" i="10"/>
  <c r="S9" i="10"/>
  <c r="N9" i="10"/>
  <c r="G9" i="10"/>
  <c r="F9" i="10"/>
  <c r="T8" i="10"/>
  <c r="S8" i="10"/>
  <c r="N8" i="10"/>
  <c r="G8" i="10"/>
  <c r="F8" i="10"/>
  <c r="T7" i="10"/>
  <c r="S7" i="10"/>
  <c r="G7" i="10"/>
  <c r="N7" i="10" s="1"/>
  <c r="O7" i="10" s="1"/>
  <c r="F7" i="10"/>
  <c r="T6" i="10"/>
  <c r="S6" i="10"/>
  <c r="R6" i="10"/>
  <c r="G6" i="10"/>
  <c r="N6" i="10" s="1"/>
  <c r="O6" i="10" s="1"/>
  <c r="R2" i="10" s="1"/>
  <c r="F6" i="10"/>
  <c r="T5" i="10"/>
  <c r="S5" i="10"/>
  <c r="N5" i="10"/>
  <c r="O5" i="10" s="1"/>
  <c r="G5" i="10"/>
  <c r="F5" i="10"/>
  <c r="T4" i="10"/>
  <c r="S4" i="10"/>
  <c r="N4" i="10"/>
  <c r="O4" i="10" s="1"/>
  <c r="G4" i="10"/>
  <c r="F4" i="10"/>
  <c r="T3" i="10"/>
  <c r="S3" i="10"/>
  <c r="N3" i="10"/>
  <c r="O3" i="10" s="1"/>
  <c r="G3" i="10"/>
  <c r="F3" i="10"/>
  <c r="T2" i="10"/>
  <c r="S2" i="10"/>
  <c r="O2" i="10"/>
  <c r="G2" i="10"/>
  <c r="N2" i="10" s="1"/>
  <c r="F2" i="10"/>
  <c r="S99" i="9"/>
  <c r="R99" i="9"/>
  <c r="O97" i="9"/>
  <c r="G97" i="9"/>
  <c r="N97" i="9" s="1"/>
  <c r="F97" i="9"/>
  <c r="G96" i="9"/>
  <c r="N96" i="9" s="1"/>
  <c r="O96" i="9" s="1"/>
  <c r="F96" i="9"/>
  <c r="O95" i="9"/>
  <c r="G95" i="9"/>
  <c r="N95" i="9" s="1"/>
  <c r="F95" i="9"/>
  <c r="G94" i="9"/>
  <c r="N94" i="9" s="1"/>
  <c r="O94" i="9" s="1"/>
  <c r="F94" i="9"/>
  <c r="O93" i="9"/>
  <c r="R24" i="9" s="1"/>
  <c r="G93" i="9"/>
  <c r="N93" i="9" s="1"/>
  <c r="F93" i="9"/>
  <c r="G92" i="9"/>
  <c r="N92" i="9" s="1"/>
  <c r="O92" i="9" s="1"/>
  <c r="F92" i="9"/>
  <c r="O91" i="9"/>
  <c r="G91" i="9"/>
  <c r="N91" i="9" s="1"/>
  <c r="F91" i="9"/>
  <c r="G90" i="9"/>
  <c r="N90" i="9" s="1"/>
  <c r="O90" i="9" s="1"/>
  <c r="F90" i="9"/>
  <c r="O89" i="9"/>
  <c r="G89" i="9"/>
  <c r="N89" i="9" s="1"/>
  <c r="F89" i="9"/>
  <c r="G88" i="9"/>
  <c r="N88" i="9" s="1"/>
  <c r="O88" i="9" s="1"/>
  <c r="F88" i="9"/>
  <c r="O87" i="9"/>
  <c r="G87" i="9"/>
  <c r="N87" i="9" s="1"/>
  <c r="F87" i="9"/>
  <c r="G86" i="9"/>
  <c r="N86" i="9" s="1"/>
  <c r="O86" i="9" s="1"/>
  <c r="F86" i="9"/>
  <c r="O85" i="9"/>
  <c r="G85" i="9"/>
  <c r="N85" i="9" s="1"/>
  <c r="F85" i="9"/>
  <c r="G84" i="9"/>
  <c r="N84" i="9" s="1"/>
  <c r="O84" i="9" s="1"/>
  <c r="F84" i="9"/>
  <c r="G83" i="9"/>
  <c r="N83" i="9" s="1"/>
  <c r="O83" i="9" s="1"/>
  <c r="F83" i="9"/>
  <c r="O82" i="9"/>
  <c r="G82" i="9"/>
  <c r="N82" i="9" s="1"/>
  <c r="F82" i="9"/>
  <c r="O81" i="9"/>
  <c r="G81" i="9"/>
  <c r="N81" i="9" s="1"/>
  <c r="F81" i="9"/>
  <c r="G80" i="9"/>
  <c r="N80" i="9" s="1"/>
  <c r="O80" i="9" s="1"/>
  <c r="F80" i="9"/>
  <c r="G79" i="9"/>
  <c r="N79" i="9" s="1"/>
  <c r="O79" i="9" s="1"/>
  <c r="F79" i="9"/>
  <c r="O78" i="9"/>
  <c r="G78" i="9"/>
  <c r="N78" i="9" s="1"/>
  <c r="F78" i="9"/>
  <c r="O77" i="9"/>
  <c r="R20" i="9" s="1"/>
  <c r="G77" i="9"/>
  <c r="N77" i="9" s="1"/>
  <c r="F77" i="9"/>
  <c r="G76" i="9"/>
  <c r="N76" i="9" s="1"/>
  <c r="O76" i="9" s="1"/>
  <c r="F76" i="9"/>
  <c r="G75" i="9"/>
  <c r="N75" i="9" s="1"/>
  <c r="O75" i="9" s="1"/>
  <c r="F75" i="9"/>
  <c r="O74" i="9"/>
  <c r="G74" i="9"/>
  <c r="N74" i="9" s="1"/>
  <c r="F74" i="9"/>
  <c r="G73" i="9"/>
  <c r="N73" i="9" s="1"/>
  <c r="O73" i="9" s="1"/>
  <c r="R19" i="9" s="1"/>
  <c r="F73" i="9"/>
  <c r="G72" i="9"/>
  <c r="N72" i="9" s="1"/>
  <c r="O72" i="9" s="1"/>
  <c r="F72" i="9"/>
  <c r="G71" i="9"/>
  <c r="N71" i="9" s="1"/>
  <c r="O71" i="9" s="1"/>
  <c r="F71" i="9"/>
  <c r="O70" i="9"/>
  <c r="G70" i="9"/>
  <c r="N70" i="9" s="1"/>
  <c r="F70" i="9"/>
  <c r="G69" i="9"/>
  <c r="N69" i="9" s="1"/>
  <c r="O69" i="9" s="1"/>
  <c r="R18" i="9" s="1"/>
  <c r="F69" i="9"/>
  <c r="G68" i="9"/>
  <c r="N68" i="9" s="1"/>
  <c r="O68" i="9" s="1"/>
  <c r="F68" i="9"/>
  <c r="G67" i="9"/>
  <c r="N67" i="9" s="1"/>
  <c r="O67" i="9" s="1"/>
  <c r="F67" i="9"/>
  <c r="O66" i="9"/>
  <c r="G66" i="9"/>
  <c r="N66" i="9" s="1"/>
  <c r="F66" i="9"/>
  <c r="G65" i="9"/>
  <c r="N65" i="9" s="1"/>
  <c r="O65" i="9" s="1"/>
  <c r="R17" i="9" s="1"/>
  <c r="F65" i="9"/>
  <c r="G64" i="9"/>
  <c r="N64" i="9" s="1"/>
  <c r="O64" i="9" s="1"/>
  <c r="F64" i="9"/>
  <c r="G63" i="9"/>
  <c r="N63" i="9" s="1"/>
  <c r="O63" i="9" s="1"/>
  <c r="F63" i="9"/>
  <c r="O62" i="9"/>
  <c r="G62" i="9"/>
  <c r="N62" i="9" s="1"/>
  <c r="F62" i="9"/>
  <c r="G61" i="9"/>
  <c r="N61" i="9" s="1"/>
  <c r="O61" i="9" s="1"/>
  <c r="R16" i="9" s="1"/>
  <c r="F61" i="9"/>
  <c r="G60" i="9"/>
  <c r="N60" i="9" s="1"/>
  <c r="O60" i="9" s="1"/>
  <c r="F60" i="9"/>
  <c r="G59" i="9"/>
  <c r="N59" i="9" s="1"/>
  <c r="O59" i="9" s="1"/>
  <c r="F59" i="9"/>
  <c r="O58" i="9"/>
  <c r="G58" i="9"/>
  <c r="N58" i="9" s="1"/>
  <c r="F58" i="9"/>
  <c r="G57" i="9"/>
  <c r="N57" i="9" s="1"/>
  <c r="O57" i="9" s="1"/>
  <c r="R15" i="9" s="1"/>
  <c r="F57" i="9"/>
  <c r="G56" i="9"/>
  <c r="N56" i="9" s="1"/>
  <c r="O56" i="9" s="1"/>
  <c r="F56" i="9"/>
  <c r="G55" i="9"/>
  <c r="N55" i="9" s="1"/>
  <c r="O55" i="9" s="1"/>
  <c r="F55" i="9"/>
  <c r="O54" i="9"/>
  <c r="G54" i="9"/>
  <c r="N54" i="9" s="1"/>
  <c r="F54" i="9"/>
  <c r="G53" i="9"/>
  <c r="N53" i="9" s="1"/>
  <c r="O53" i="9" s="1"/>
  <c r="R14" i="9" s="1"/>
  <c r="F53" i="9"/>
  <c r="G52" i="9"/>
  <c r="N52" i="9" s="1"/>
  <c r="O52" i="9" s="1"/>
  <c r="F52" i="9"/>
  <c r="G51" i="9"/>
  <c r="N51" i="9" s="1"/>
  <c r="O51" i="9" s="1"/>
  <c r="F51" i="9"/>
  <c r="O50" i="9"/>
  <c r="G50" i="9"/>
  <c r="N50" i="9" s="1"/>
  <c r="F50" i="9"/>
  <c r="G49" i="9"/>
  <c r="N49" i="9" s="1"/>
  <c r="O49" i="9" s="1"/>
  <c r="R13" i="9" s="1"/>
  <c r="F49" i="9"/>
  <c r="G48" i="9"/>
  <c r="N48" i="9" s="1"/>
  <c r="O48" i="9" s="1"/>
  <c r="F48" i="9"/>
  <c r="G47" i="9"/>
  <c r="N47" i="9" s="1"/>
  <c r="O47" i="9" s="1"/>
  <c r="F47" i="9"/>
  <c r="O46" i="9"/>
  <c r="G46" i="9"/>
  <c r="N46" i="9" s="1"/>
  <c r="F46" i="9"/>
  <c r="G45" i="9"/>
  <c r="N45" i="9" s="1"/>
  <c r="O45" i="9" s="1"/>
  <c r="R12" i="9" s="1"/>
  <c r="F45" i="9"/>
  <c r="G44" i="9"/>
  <c r="N44" i="9" s="1"/>
  <c r="O44" i="9" s="1"/>
  <c r="F44" i="9"/>
  <c r="G43" i="9"/>
  <c r="N43" i="9" s="1"/>
  <c r="O43" i="9" s="1"/>
  <c r="F43" i="9"/>
  <c r="O42" i="9"/>
  <c r="G42" i="9"/>
  <c r="N42" i="9" s="1"/>
  <c r="F42" i="9"/>
  <c r="G41" i="9"/>
  <c r="N41" i="9" s="1"/>
  <c r="F41" i="9"/>
  <c r="G40" i="9"/>
  <c r="N40" i="9" s="1"/>
  <c r="F40" i="9"/>
  <c r="G39" i="9"/>
  <c r="N39" i="9" s="1"/>
  <c r="F39" i="9"/>
  <c r="G38" i="9"/>
  <c r="N38" i="9" s="1"/>
  <c r="O38" i="9" s="1"/>
  <c r="F38" i="9"/>
  <c r="G37" i="9"/>
  <c r="N37" i="9" s="1"/>
  <c r="F37" i="9"/>
  <c r="G36" i="9"/>
  <c r="N36" i="9" s="1"/>
  <c r="F36" i="9"/>
  <c r="G35" i="9"/>
  <c r="N35" i="9" s="1"/>
  <c r="F35" i="9"/>
  <c r="G34" i="9"/>
  <c r="N34" i="9" s="1"/>
  <c r="O34" i="9" s="1"/>
  <c r="F34" i="9"/>
  <c r="G33" i="9"/>
  <c r="N33" i="9" s="1"/>
  <c r="F33" i="9"/>
  <c r="G32" i="9"/>
  <c r="N32" i="9" s="1"/>
  <c r="F32" i="9"/>
  <c r="G31" i="9"/>
  <c r="N31" i="9" s="1"/>
  <c r="F31" i="9"/>
  <c r="G30" i="9"/>
  <c r="N30" i="9" s="1"/>
  <c r="O30" i="9" s="1"/>
  <c r="F30" i="9"/>
  <c r="G29" i="9"/>
  <c r="N29" i="9" s="1"/>
  <c r="F29" i="9"/>
  <c r="G28" i="9"/>
  <c r="N28" i="9" s="1"/>
  <c r="F28" i="9"/>
  <c r="G27" i="9"/>
  <c r="N27" i="9" s="1"/>
  <c r="F27" i="9"/>
  <c r="G26" i="9"/>
  <c r="N26" i="9" s="1"/>
  <c r="O26" i="9" s="1"/>
  <c r="F26" i="9"/>
  <c r="T25" i="9"/>
  <c r="S25" i="9"/>
  <c r="R25" i="9"/>
  <c r="N25" i="9"/>
  <c r="G25" i="9"/>
  <c r="F25" i="9"/>
  <c r="T24" i="9"/>
  <c r="S24" i="9"/>
  <c r="G24" i="9"/>
  <c r="N24" i="9" s="1"/>
  <c r="F24" i="9"/>
  <c r="T23" i="9"/>
  <c r="S23" i="9"/>
  <c r="R23" i="9"/>
  <c r="G23" i="9"/>
  <c r="N23" i="9" s="1"/>
  <c r="F23" i="9"/>
  <c r="T22" i="9"/>
  <c r="S22" i="9"/>
  <c r="R22" i="9"/>
  <c r="G22" i="9"/>
  <c r="N22" i="9" s="1"/>
  <c r="O22" i="9" s="1"/>
  <c r="F22" i="9"/>
  <c r="T21" i="9"/>
  <c r="S21" i="9"/>
  <c r="R21" i="9"/>
  <c r="N21" i="9"/>
  <c r="O21" i="9" s="1"/>
  <c r="R6" i="9" s="1"/>
  <c r="G21" i="9"/>
  <c r="F21" i="9"/>
  <c r="T20" i="9"/>
  <c r="S20" i="9"/>
  <c r="G20" i="9"/>
  <c r="N20" i="9" s="1"/>
  <c r="O20" i="9" s="1"/>
  <c r="F20" i="9"/>
  <c r="T19" i="9"/>
  <c r="S19" i="9"/>
  <c r="N19" i="9"/>
  <c r="O19" i="9" s="1"/>
  <c r="G19" i="9"/>
  <c r="F19" i="9"/>
  <c r="T18" i="9"/>
  <c r="S18" i="9"/>
  <c r="G18" i="9"/>
  <c r="N18" i="9" s="1"/>
  <c r="O18" i="9" s="1"/>
  <c r="F18" i="9"/>
  <c r="T17" i="9"/>
  <c r="S17" i="9"/>
  <c r="N17" i="9"/>
  <c r="G17" i="9"/>
  <c r="F17" i="9"/>
  <c r="T16" i="9"/>
  <c r="S16" i="9"/>
  <c r="G16" i="9"/>
  <c r="N16" i="9" s="1"/>
  <c r="F16" i="9"/>
  <c r="T15" i="9"/>
  <c r="S15" i="9"/>
  <c r="G15" i="9"/>
  <c r="N15" i="9" s="1"/>
  <c r="F15" i="9"/>
  <c r="T14" i="9"/>
  <c r="S14" i="9"/>
  <c r="G14" i="9"/>
  <c r="N14" i="9" s="1"/>
  <c r="O14" i="9" s="1"/>
  <c r="F14" i="9"/>
  <c r="T13" i="9"/>
  <c r="S13" i="9"/>
  <c r="N13" i="9"/>
  <c r="O13" i="9" s="1"/>
  <c r="R4" i="9" s="1"/>
  <c r="G13" i="9"/>
  <c r="F13" i="9"/>
  <c r="T12" i="9"/>
  <c r="S12" i="9"/>
  <c r="N12" i="9"/>
  <c r="O12" i="9" s="1"/>
  <c r="G12" i="9"/>
  <c r="F12" i="9"/>
  <c r="T11" i="9"/>
  <c r="S11" i="9"/>
  <c r="G11" i="9"/>
  <c r="N11" i="9" s="1"/>
  <c r="O11" i="9" s="1"/>
  <c r="F11" i="9"/>
  <c r="T10" i="9"/>
  <c r="S10" i="9"/>
  <c r="G10" i="9"/>
  <c r="N10" i="9" s="1"/>
  <c r="O10" i="9" s="1"/>
  <c r="F10" i="9"/>
  <c r="T9" i="9"/>
  <c r="S9" i="9"/>
  <c r="G9" i="9"/>
  <c r="N9" i="9" s="1"/>
  <c r="F9" i="9"/>
  <c r="T8" i="9"/>
  <c r="S8" i="9"/>
  <c r="G8" i="9"/>
  <c r="N8" i="9" s="1"/>
  <c r="F8" i="9"/>
  <c r="T7" i="9"/>
  <c r="S7" i="9"/>
  <c r="G7" i="9"/>
  <c r="N7" i="9" s="1"/>
  <c r="F7" i="9"/>
  <c r="T6" i="9"/>
  <c r="S6" i="9"/>
  <c r="G6" i="9"/>
  <c r="N6" i="9" s="1"/>
  <c r="O6" i="9" s="1"/>
  <c r="F6" i="9"/>
  <c r="T5" i="9"/>
  <c r="S5" i="9"/>
  <c r="N5" i="9"/>
  <c r="G5" i="9"/>
  <c r="F5" i="9"/>
  <c r="T4" i="9"/>
  <c r="S4" i="9"/>
  <c r="G4" i="9"/>
  <c r="N4" i="9" s="1"/>
  <c r="F4" i="9"/>
  <c r="T3" i="9"/>
  <c r="S3" i="9"/>
  <c r="N3" i="9"/>
  <c r="G3" i="9"/>
  <c r="F3" i="9"/>
  <c r="T2" i="9"/>
  <c r="S2" i="9"/>
  <c r="G2" i="9"/>
  <c r="N2" i="9" s="1"/>
  <c r="O2" i="9" s="1"/>
  <c r="F2" i="9"/>
  <c r="S99" i="8"/>
  <c r="R99" i="8"/>
  <c r="G97" i="8"/>
  <c r="N97" i="8" s="1"/>
  <c r="O97" i="8" s="1"/>
  <c r="R25" i="8" s="1"/>
  <c r="F97" i="8"/>
  <c r="G96" i="8"/>
  <c r="N96" i="8" s="1"/>
  <c r="O96" i="8" s="1"/>
  <c r="F96" i="8"/>
  <c r="G95" i="8"/>
  <c r="N95" i="8" s="1"/>
  <c r="O95" i="8" s="1"/>
  <c r="F95" i="8"/>
  <c r="G94" i="8"/>
  <c r="N94" i="8" s="1"/>
  <c r="O94" i="8" s="1"/>
  <c r="F94" i="8"/>
  <c r="G93" i="8"/>
  <c r="N93" i="8" s="1"/>
  <c r="O93" i="8" s="1"/>
  <c r="R24" i="8" s="1"/>
  <c r="F93" i="8"/>
  <c r="G92" i="8"/>
  <c r="N92" i="8" s="1"/>
  <c r="O92" i="8" s="1"/>
  <c r="F92" i="8"/>
  <c r="G91" i="8"/>
  <c r="N91" i="8" s="1"/>
  <c r="O91" i="8" s="1"/>
  <c r="F91" i="8"/>
  <c r="G90" i="8"/>
  <c r="N90" i="8" s="1"/>
  <c r="O90" i="8" s="1"/>
  <c r="F90" i="8"/>
  <c r="G89" i="8"/>
  <c r="N89" i="8" s="1"/>
  <c r="O89" i="8" s="1"/>
  <c r="R23" i="8" s="1"/>
  <c r="F89" i="8"/>
  <c r="G88" i="8"/>
  <c r="N88" i="8" s="1"/>
  <c r="O88" i="8" s="1"/>
  <c r="F88" i="8"/>
  <c r="G87" i="8"/>
  <c r="N87" i="8" s="1"/>
  <c r="O87" i="8" s="1"/>
  <c r="F87" i="8"/>
  <c r="G86" i="8"/>
  <c r="N86" i="8" s="1"/>
  <c r="O86" i="8" s="1"/>
  <c r="F86" i="8"/>
  <c r="G85" i="8"/>
  <c r="N85" i="8" s="1"/>
  <c r="O85" i="8" s="1"/>
  <c r="R22" i="8" s="1"/>
  <c r="F85" i="8"/>
  <c r="G84" i="8"/>
  <c r="N84" i="8" s="1"/>
  <c r="O84" i="8" s="1"/>
  <c r="F84" i="8"/>
  <c r="G83" i="8"/>
  <c r="N83" i="8" s="1"/>
  <c r="O83" i="8" s="1"/>
  <c r="F83" i="8"/>
  <c r="G82" i="8"/>
  <c r="N82" i="8" s="1"/>
  <c r="O82" i="8" s="1"/>
  <c r="F82" i="8"/>
  <c r="G81" i="8"/>
  <c r="N81" i="8" s="1"/>
  <c r="O81" i="8" s="1"/>
  <c r="R21" i="8" s="1"/>
  <c r="F81" i="8"/>
  <c r="G80" i="8"/>
  <c r="N80" i="8" s="1"/>
  <c r="O80" i="8" s="1"/>
  <c r="F80" i="8"/>
  <c r="G79" i="8"/>
  <c r="N79" i="8" s="1"/>
  <c r="O79" i="8" s="1"/>
  <c r="F79" i="8"/>
  <c r="G78" i="8"/>
  <c r="N78" i="8" s="1"/>
  <c r="O78" i="8" s="1"/>
  <c r="F78" i="8"/>
  <c r="G77" i="8"/>
  <c r="N77" i="8" s="1"/>
  <c r="O77" i="8" s="1"/>
  <c r="R20" i="8" s="1"/>
  <c r="F77" i="8"/>
  <c r="G76" i="8"/>
  <c r="N76" i="8" s="1"/>
  <c r="O76" i="8" s="1"/>
  <c r="F76" i="8"/>
  <c r="G75" i="8"/>
  <c r="N75" i="8" s="1"/>
  <c r="O75" i="8" s="1"/>
  <c r="F75" i="8"/>
  <c r="G74" i="8"/>
  <c r="N74" i="8" s="1"/>
  <c r="O74" i="8" s="1"/>
  <c r="F74" i="8"/>
  <c r="G73" i="8"/>
  <c r="N73" i="8" s="1"/>
  <c r="O73" i="8" s="1"/>
  <c r="R19" i="8" s="1"/>
  <c r="F73" i="8"/>
  <c r="G72" i="8"/>
  <c r="N72" i="8" s="1"/>
  <c r="O72" i="8" s="1"/>
  <c r="F72" i="8"/>
  <c r="G71" i="8"/>
  <c r="N71" i="8" s="1"/>
  <c r="O71" i="8" s="1"/>
  <c r="F71" i="8"/>
  <c r="G70" i="8"/>
  <c r="N70" i="8" s="1"/>
  <c r="O70" i="8" s="1"/>
  <c r="F70" i="8"/>
  <c r="G69" i="8"/>
  <c r="N69" i="8" s="1"/>
  <c r="O69" i="8" s="1"/>
  <c r="R18" i="8" s="1"/>
  <c r="F69" i="8"/>
  <c r="G68" i="8"/>
  <c r="N68" i="8" s="1"/>
  <c r="O68" i="8" s="1"/>
  <c r="F68" i="8"/>
  <c r="G67" i="8"/>
  <c r="N67" i="8" s="1"/>
  <c r="O67" i="8" s="1"/>
  <c r="F67" i="8"/>
  <c r="G66" i="8"/>
  <c r="N66" i="8" s="1"/>
  <c r="O66" i="8" s="1"/>
  <c r="F66" i="8"/>
  <c r="G65" i="8"/>
  <c r="N65" i="8" s="1"/>
  <c r="O65" i="8" s="1"/>
  <c r="R17" i="8" s="1"/>
  <c r="F65" i="8"/>
  <c r="G64" i="8"/>
  <c r="N64" i="8" s="1"/>
  <c r="O64" i="8" s="1"/>
  <c r="F64" i="8"/>
  <c r="G63" i="8"/>
  <c r="N63" i="8" s="1"/>
  <c r="O63" i="8" s="1"/>
  <c r="F63" i="8"/>
  <c r="G62" i="8"/>
  <c r="N62" i="8" s="1"/>
  <c r="O62" i="8" s="1"/>
  <c r="F62" i="8"/>
  <c r="G61" i="8"/>
  <c r="N61" i="8" s="1"/>
  <c r="O61" i="8" s="1"/>
  <c r="R16" i="8" s="1"/>
  <c r="F61" i="8"/>
  <c r="G60" i="8"/>
  <c r="N60" i="8" s="1"/>
  <c r="O60" i="8" s="1"/>
  <c r="F60" i="8"/>
  <c r="G59" i="8"/>
  <c r="N59" i="8" s="1"/>
  <c r="O59" i="8" s="1"/>
  <c r="F59" i="8"/>
  <c r="G58" i="8"/>
  <c r="N58" i="8" s="1"/>
  <c r="O58" i="8" s="1"/>
  <c r="F58" i="8"/>
  <c r="G57" i="8"/>
  <c r="N57" i="8" s="1"/>
  <c r="F57" i="8"/>
  <c r="G56" i="8"/>
  <c r="N56" i="8" s="1"/>
  <c r="F56" i="8"/>
  <c r="G55" i="8"/>
  <c r="N55" i="8" s="1"/>
  <c r="O55" i="8" s="1"/>
  <c r="F55" i="8"/>
  <c r="G54" i="8"/>
  <c r="N54" i="8" s="1"/>
  <c r="O54" i="8" s="1"/>
  <c r="F54" i="8"/>
  <c r="G53" i="8"/>
  <c r="N53" i="8" s="1"/>
  <c r="O53" i="8" s="1"/>
  <c r="R14" i="8" s="1"/>
  <c r="F53" i="8"/>
  <c r="G52" i="8"/>
  <c r="N52" i="8" s="1"/>
  <c r="O52" i="8" s="1"/>
  <c r="F52" i="8"/>
  <c r="G51" i="8"/>
  <c r="N51" i="8" s="1"/>
  <c r="O51" i="8" s="1"/>
  <c r="F51" i="8"/>
  <c r="G50" i="8"/>
  <c r="N50" i="8" s="1"/>
  <c r="O50" i="8" s="1"/>
  <c r="F50" i="8"/>
  <c r="G49" i="8"/>
  <c r="N49" i="8" s="1"/>
  <c r="F49" i="8"/>
  <c r="G48" i="8"/>
  <c r="N48" i="8" s="1"/>
  <c r="F48" i="8"/>
  <c r="G47" i="8"/>
  <c r="N47" i="8" s="1"/>
  <c r="O47" i="8" s="1"/>
  <c r="F47" i="8"/>
  <c r="G46" i="8"/>
  <c r="N46" i="8" s="1"/>
  <c r="O46" i="8" s="1"/>
  <c r="F46" i="8"/>
  <c r="G45" i="8"/>
  <c r="N45" i="8" s="1"/>
  <c r="F45" i="8"/>
  <c r="G44" i="8"/>
  <c r="N44" i="8" s="1"/>
  <c r="F44" i="8"/>
  <c r="G43" i="8"/>
  <c r="N43" i="8" s="1"/>
  <c r="O43" i="8" s="1"/>
  <c r="F43" i="8"/>
  <c r="G42" i="8"/>
  <c r="N42" i="8" s="1"/>
  <c r="O42" i="8" s="1"/>
  <c r="F42" i="8"/>
  <c r="G41" i="8"/>
  <c r="N41" i="8" s="1"/>
  <c r="O41" i="8" s="1"/>
  <c r="R11" i="8" s="1"/>
  <c r="F41" i="8"/>
  <c r="G40" i="8"/>
  <c r="N40" i="8" s="1"/>
  <c r="O40" i="8" s="1"/>
  <c r="F40" i="8"/>
  <c r="G39" i="8"/>
  <c r="N39" i="8" s="1"/>
  <c r="O39" i="8" s="1"/>
  <c r="F39" i="8"/>
  <c r="G38" i="8"/>
  <c r="N38" i="8" s="1"/>
  <c r="O38" i="8" s="1"/>
  <c r="F38" i="8"/>
  <c r="G37" i="8"/>
  <c r="N37" i="8" s="1"/>
  <c r="F37" i="8"/>
  <c r="G36" i="8"/>
  <c r="N36" i="8" s="1"/>
  <c r="F36" i="8"/>
  <c r="G35" i="8"/>
  <c r="N35" i="8" s="1"/>
  <c r="O35" i="8" s="1"/>
  <c r="F35" i="8"/>
  <c r="G34" i="8"/>
  <c r="N34" i="8" s="1"/>
  <c r="O34" i="8" s="1"/>
  <c r="F34" i="8"/>
  <c r="G33" i="8"/>
  <c r="N33" i="8" s="1"/>
  <c r="O33" i="8" s="1"/>
  <c r="R9" i="8" s="1"/>
  <c r="F33" i="8"/>
  <c r="G32" i="8"/>
  <c r="N32" i="8" s="1"/>
  <c r="O32" i="8" s="1"/>
  <c r="F32" i="8"/>
  <c r="G31" i="8"/>
  <c r="N31" i="8" s="1"/>
  <c r="O31" i="8" s="1"/>
  <c r="F31" i="8"/>
  <c r="G30" i="8"/>
  <c r="N30" i="8" s="1"/>
  <c r="O30" i="8" s="1"/>
  <c r="F30" i="8"/>
  <c r="G29" i="8"/>
  <c r="N29" i="8" s="1"/>
  <c r="F29" i="8"/>
  <c r="G28" i="8"/>
  <c r="N28" i="8" s="1"/>
  <c r="F28" i="8"/>
  <c r="G27" i="8"/>
  <c r="N27" i="8" s="1"/>
  <c r="O27" i="8" s="1"/>
  <c r="F27" i="8"/>
  <c r="G26" i="8"/>
  <c r="N26" i="8" s="1"/>
  <c r="O26" i="8" s="1"/>
  <c r="F26" i="8"/>
  <c r="T25" i="8"/>
  <c r="S25" i="8"/>
  <c r="G25" i="8"/>
  <c r="N25" i="8" s="1"/>
  <c r="O25" i="8" s="1"/>
  <c r="R7" i="8" s="1"/>
  <c r="F25" i="8"/>
  <c r="T24" i="8"/>
  <c r="S24" i="8"/>
  <c r="N24" i="8"/>
  <c r="O24" i="8" s="1"/>
  <c r="G24" i="8"/>
  <c r="F24" i="8"/>
  <c r="T23" i="8"/>
  <c r="S23" i="8"/>
  <c r="G23" i="8"/>
  <c r="N23" i="8" s="1"/>
  <c r="O23" i="8" s="1"/>
  <c r="F23" i="8"/>
  <c r="T22" i="8"/>
  <c r="S22" i="8"/>
  <c r="G22" i="8"/>
  <c r="N22" i="8" s="1"/>
  <c r="O22" i="8" s="1"/>
  <c r="F22" i="8"/>
  <c r="T21" i="8"/>
  <c r="S21" i="8"/>
  <c r="G21" i="8"/>
  <c r="N21" i="8" s="1"/>
  <c r="F21" i="8"/>
  <c r="T20" i="8"/>
  <c r="S20" i="8"/>
  <c r="N20" i="8"/>
  <c r="G20" i="8"/>
  <c r="F20" i="8"/>
  <c r="T19" i="8"/>
  <c r="S19" i="8"/>
  <c r="G19" i="8"/>
  <c r="N19" i="8" s="1"/>
  <c r="F19" i="8"/>
  <c r="T18" i="8"/>
  <c r="S18" i="8"/>
  <c r="G18" i="8"/>
  <c r="N18" i="8" s="1"/>
  <c r="O18" i="8" s="1"/>
  <c r="F18" i="8"/>
  <c r="T17" i="8"/>
  <c r="S17" i="8"/>
  <c r="G17" i="8"/>
  <c r="N17" i="8" s="1"/>
  <c r="F17" i="8"/>
  <c r="T16" i="8"/>
  <c r="S16" i="8"/>
  <c r="N16" i="8"/>
  <c r="G16" i="8"/>
  <c r="F16" i="8"/>
  <c r="T15" i="8"/>
  <c r="S15" i="8"/>
  <c r="G15" i="8"/>
  <c r="N15" i="8" s="1"/>
  <c r="F15" i="8"/>
  <c r="T14" i="8"/>
  <c r="S14" i="8"/>
  <c r="G14" i="8"/>
  <c r="N14" i="8" s="1"/>
  <c r="O14" i="8" s="1"/>
  <c r="F14" i="8"/>
  <c r="T13" i="8"/>
  <c r="S13" i="8"/>
  <c r="G13" i="8"/>
  <c r="N13" i="8" s="1"/>
  <c r="F13" i="8"/>
  <c r="T12" i="8"/>
  <c r="S12" i="8"/>
  <c r="N12" i="8"/>
  <c r="G12" i="8"/>
  <c r="F12" i="8"/>
  <c r="T11" i="8"/>
  <c r="S11" i="8"/>
  <c r="G11" i="8"/>
  <c r="N11" i="8" s="1"/>
  <c r="F11" i="8"/>
  <c r="T10" i="8"/>
  <c r="S10" i="8"/>
  <c r="G10" i="8"/>
  <c r="N10" i="8" s="1"/>
  <c r="O10" i="8" s="1"/>
  <c r="F10" i="8"/>
  <c r="T9" i="8"/>
  <c r="S9" i="8"/>
  <c r="G9" i="8"/>
  <c r="N9" i="8" s="1"/>
  <c r="F9" i="8"/>
  <c r="T8" i="8"/>
  <c r="S8" i="8"/>
  <c r="N8" i="8"/>
  <c r="G8" i="8"/>
  <c r="F8" i="8"/>
  <c r="T7" i="8"/>
  <c r="S7" i="8"/>
  <c r="G7" i="8"/>
  <c r="N7" i="8" s="1"/>
  <c r="F7" i="8"/>
  <c r="T6" i="8"/>
  <c r="S6" i="8"/>
  <c r="G6" i="8"/>
  <c r="N6" i="8" s="1"/>
  <c r="O6" i="8" s="1"/>
  <c r="F6" i="8"/>
  <c r="T5" i="8"/>
  <c r="S5" i="8"/>
  <c r="G5" i="8"/>
  <c r="N5" i="8" s="1"/>
  <c r="F5" i="8"/>
  <c r="T4" i="8"/>
  <c r="S4" i="8"/>
  <c r="N4" i="8"/>
  <c r="G4" i="8"/>
  <c r="F4" i="8"/>
  <c r="T3" i="8"/>
  <c r="S3" i="8"/>
  <c r="G3" i="8"/>
  <c r="N3" i="8" s="1"/>
  <c r="F3" i="8"/>
  <c r="T2" i="8"/>
  <c r="S2" i="8"/>
  <c r="G2" i="8"/>
  <c r="N2" i="8" s="1"/>
  <c r="O2" i="8" s="1"/>
  <c r="F2" i="8"/>
  <c r="S99" i="7"/>
  <c r="R99" i="7"/>
  <c r="N97" i="7"/>
  <c r="O97" i="7" s="1"/>
  <c r="R25" i="7" s="1"/>
  <c r="G97" i="7"/>
  <c r="F97" i="7"/>
  <c r="N96" i="7"/>
  <c r="O96" i="7" s="1"/>
  <c r="G96" i="7"/>
  <c r="F96" i="7"/>
  <c r="N95" i="7"/>
  <c r="O95" i="7" s="1"/>
  <c r="G95" i="7"/>
  <c r="F95" i="7"/>
  <c r="N94" i="7"/>
  <c r="O94" i="7" s="1"/>
  <c r="G94" i="7"/>
  <c r="F94" i="7"/>
  <c r="N93" i="7"/>
  <c r="O93" i="7" s="1"/>
  <c r="R24" i="7" s="1"/>
  <c r="G93" i="7"/>
  <c r="F93" i="7"/>
  <c r="N92" i="7"/>
  <c r="O92" i="7" s="1"/>
  <c r="G92" i="7"/>
  <c r="F92" i="7"/>
  <c r="N91" i="7"/>
  <c r="O91" i="7" s="1"/>
  <c r="G91" i="7"/>
  <c r="F91" i="7"/>
  <c r="N90" i="7"/>
  <c r="O90" i="7" s="1"/>
  <c r="G90" i="7"/>
  <c r="F90" i="7"/>
  <c r="N89" i="7"/>
  <c r="O89" i="7" s="1"/>
  <c r="R23" i="7" s="1"/>
  <c r="G89" i="7"/>
  <c r="F89" i="7"/>
  <c r="N88" i="7"/>
  <c r="O88" i="7" s="1"/>
  <c r="G88" i="7"/>
  <c r="F88" i="7"/>
  <c r="N87" i="7"/>
  <c r="O87" i="7" s="1"/>
  <c r="G87" i="7"/>
  <c r="F87" i="7"/>
  <c r="N86" i="7"/>
  <c r="O86" i="7" s="1"/>
  <c r="G86" i="7"/>
  <c r="F86" i="7"/>
  <c r="N85" i="7"/>
  <c r="O85" i="7" s="1"/>
  <c r="R22" i="7" s="1"/>
  <c r="G85" i="7"/>
  <c r="F85" i="7"/>
  <c r="N84" i="7"/>
  <c r="O84" i="7" s="1"/>
  <c r="G84" i="7"/>
  <c r="F84" i="7"/>
  <c r="N83" i="7"/>
  <c r="O83" i="7" s="1"/>
  <c r="G83" i="7"/>
  <c r="F83" i="7"/>
  <c r="N82" i="7"/>
  <c r="O82" i="7" s="1"/>
  <c r="G82" i="7"/>
  <c r="F82" i="7"/>
  <c r="N81" i="7"/>
  <c r="O81" i="7" s="1"/>
  <c r="R21" i="7" s="1"/>
  <c r="G81" i="7"/>
  <c r="F81" i="7"/>
  <c r="N80" i="7"/>
  <c r="O80" i="7" s="1"/>
  <c r="G80" i="7"/>
  <c r="F80" i="7"/>
  <c r="N79" i="7"/>
  <c r="O79" i="7" s="1"/>
  <c r="G79" i="7"/>
  <c r="F79" i="7"/>
  <c r="N78" i="7"/>
  <c r="O78" i="7" s="1"/>
  <c r="G78" i="7"/>
  <c r="F78" i="7"/>
  <c r="N77" i="7"/>
  <c r="O77" i="7" s="1"/>
  <c r="G77" i="7"/>
  <c r="F77" i="7"/>
  <c r="N76" i="7"/>
  <c r="O76" i="7" s="1"/>
  <c r="G76" i="7"/>
  <c r="F76" i="7"/>
  <c r="N75" i="7"/>
  <c r="O75" i="7" s="1"/>
  <c r="G75" i="7"/>
  <c r="F75" i="7"/>
  <c r="N74" i="7"/>
  <c r="O74" i="7" s="1"/>
  <c r="G74" i="7"/>
  <c r="F74" i="7"/>
  <c r="N73" i="7"/>
  <c r="O73" i="7" s="1"/>
  <c r="R19" i="7" s="1"/>
  <c r="G73" i="7"/>
  <c r="F73" i="7"/>
  <c r="N72" i="7"/>
  <c r="O72" i="7" s="1"/>
  <c r="G72" i="7"/>
  <c r="F72" i="7"/>
  <c r="N71" i="7"/>
  <c r="O71" i="7" s="1"/>
  <c r="G71" i="7"/>
  <c r="F71" i="7"/>
  <c r="N70" i="7"/>
  <c r="O70" i="7" s="1"/>
  <c r="G70" i="7"/>
  <c r="F70" i="7"/>
  <c r="N69" i="7"/>
  <c r="O69" i="7" s="1"/>
  <c r="R18" i="7" s="1"/>
  <c r="G69" i="7"/>
  <c r="F69" i="7"/>
  <c r="N68" i="7"/>
  <c r="O68" i="7" s="1"/>
  <c r="G68" i="7"/>
  <c r="F68" i="7"/>
  <c r="N67" i="7"/>
  <c r="O67" i="7" s="1"/>
  <c r="G67" i="7"/>
  <c r="F67" i="7"/>
  <c r="N66" i="7"/>
  <c r="O66" i="7" s="1"/>
  <c r="G66" i="7"/>
  <c r="F66" i="7"/>
  <c r="G65" i="7"/>
  <c r="N65" i="7" s="1"/>
  <c r="F65" i="7"/>
  <c r="G64" i="7"/>
  <c r="N64" i="7" s="1"/>
  <c r="F64" i="7"/>
  <c r="N63" i="7"/>
  <c r="G63" i="7"/>
  <c r="F63" i="7"/>
  <c r="G62" i="7"/>
  <c r="N62" i="7" s="1"/>
  <c r="O62" i="7" s="1"/>
  <c r="F62" i="7"/>
  <c r="G61" i="7"/>
  <c r="N61" i="7" s="1"/>
  <c r="F61" i="7"/>
  <c r="G60" i="7"/>
  <c r="N60" i="7" s="1"/>
  <c r="F60" i="7"/>
  <c r="N59" i="7"/>
  <c r="G59" i="7"/>
  <c r="F59" i="7"/>
  <c r="G58" i="7"/>
  <c r="N58" i="7" s="1"/>
  <c r="O58" i="7" s="1"/>
  <c r="F58" i="7"/>
  <c r="G57" i="7"/>
  <c r="N57" i="7" s="1"/>
  <c r="F57" i="7"/>
  <c r="G56" i="7"/>
  <c r="N56" i="7" s="1"/>
  <c r="F56" i="7"/>
  <c r="N55" i="7"/>
  <c r="G55" i="7"/>
  <c r="F55" i="7"/>
  <c r="G54" i="7"/>
  <c r="N54" i="7" s="1"/>
  <c r="O54" i="7" s="1"/>
  <c r="F54" i="7"/>
  <c r="G53" i="7"/>
  <c r="N53" i="7" s="1"/>
  <c r="F53" i="7"/>
  <c r="G52" i="7"/>
  <c r="N52" i="7" s="1"/>
  <c r="F52" i="7"/>
  <c r="N51" i="7"/>
  <c r="G51" i="7"/>
  <c r="F51" i="7"/>
  <c r="G50" i="7"/>
  <c r="N50" i="7" s="1"/>
  <c r="O50" i="7" s="1"/>
  <c r="F50" i="7"/>
  <c r="G49" i="7"/>
  <c r="N49" i="7" s="1"/>
  <c r="F49" i="7"/>
  <c r="G48" i="7"/>
  <c r="N48" i="7" s="1"/>
  <c r="F48" i="7"/>
  <c r="N47" i="7"/>
  <c r="G47" i="7"/>
  <c r="F47" i="7"/>
  <c r="G46" i="7"/>
  <c r="N46" i="7" s="1"/>
  <c r="O46" i="7" s="1"/>
  <c r="F46" i="7"/>
  <c r="G45" i="7"/>
  <c r="N45" i="7" s="1"/>
  <c r="F45" i="7"/>
  <c r="G44" i="7"/>
  <c r="N44" i="7" s="1"/>
  <c r="F44" i="7"/>
  <c r="N43" i="7"/>
  <c r="G43" i="7"/>
  <c r="F43" i="7"/>
  <c r="G42" i="7"/>
  <c r="N42" i="7" s="1"/>
  <c r="O42" i="7" s="1"/>
  <c r="F42" i="7"/>
  <c r="G41" i="7"/>
  <c r="N41" i="7" s="1"/>
  <c r="F41" i="7"/>
  <c r="G40" i="7"/>
  <c r="N40" i="7" s="1"/>
  <c r="F40" i="7"/>
  <c r="N39" i="7"/>
  <c r="G39" i="7"/>
  <c r="F39" i="7"/>
  <c r="G38" i="7"/>
  <c r="N38" i="7" s="1"/>
  <c r="O38" i="7" s="1"/>
  <c r="F38" i="7"/>
  <c r="G37" i="7"/>
  <c r="N37" i="7" s="1"/>
  <c r="O37" i="7" s="1"/>
  <c r="R10" i="7" s="1"/>
  <c r="F37" i="7"/>
  <c r="G36" i="7"/>
  <c r="N36" i="7" s="1"/>
  <c r="O36" i="7" s="1"/>
  <c r="F36" i="7"/>
  <c r="N35" i="7"/>
  <c r="O35" i="7" s="1"/>
  <c r="G35" i="7"/>
  <c r="F35" i="7"/>
  <c r="G34" i="7"/>
  <c r="N34" i="7" s="1"/>
  <c r="O34" i="7" s="1"/>
  <c r="F34" i="7"/>
  <c r="G33" i="7"/>
  <c r="N33" i="7" s="1"/>
  <c r="F33" i="7"/>
  <c r="G32" i="7"/>
  <c r="N32" i="7" s="1"/>
  <c r="F32" i="7"/>
  <c r="N31" i="7"/>
  <c r="G31" i="7"/>
  <c r="F31" i="7"/>
  <c r="G30" i="7"/>
  <c r="N30" i="7" s="1"/>
  <c r="O30" i="7" s="1"/>
  <c r="F30" i="7"/>
  <c r="G29" i="7"/>
  <c r="N29" i="7" s="1"/>
  <c r="F29" i="7"/>
  <c r="G28" i="7"/>
  <c r="N28" i="7" s="1"/>
  <c r="F28" i="7"/>
  <c r="N27" i="7"/>
  <c r="G27" i="7"/>
  <c r="F27" i="7"/>
  <c r="N26" i="7"/>
  <c r="O26" i="7" s="1"/>
  <c r="G26" i="7"/>
  <c r="F26" i="7"/>
  <c r="T25" i="7"/>
  <c r="S25" i="7"/>
  <c r="G25" i="7"/>
  <c r="N25" i="7" s="1"/>
  <c r="O25" i="7" s="1"/>
  <c r="R7" i="7" s="1"/>
  <c r="F25" i="7"/>
  <c r="T24" i="7"/>
  <c r="S24" i="7"/>
  <c r="G24" i="7"/>
  <c r="N24" i="7" s="1"/>
  <c r="O24" i="7" s="1"/>
  <c r="F24" i="7"/>
  <c r="T23" i="7"/>
  <c r="S23" i="7"/>
  <c r="O23" i="7"/>
  <c r="G23" i="7"/>
  <c r="N23" i="7" s="1"/>
  <c r="F23" i="7"/>
  <c r="T22" i="7"/>
  <c r="S22" i="7"/>
  <c r="G22" i="7"/>
  <c r="N22" i="7" s="1"/>
  <c r="O22" i="7" s="1"/>
  <c r="F22" i="7"/>
  <c r="T21" i="7"/>
  <c r="S21" i="7"/>
  <c r="G21" i="7"/>
  <c r="N21" i="7" s="1"/>
  <c r="F21" i="7"/>
  <c r="T20" i="7"/>
  <c r="S20" i="7"/>
  <c r="R20" i="7"/>
  <c r="G20" i="7"/>
  <c r="N20" i="7" s="1"/>
  <c r="F20" i="7"/>
  <c r="T19" i="7"/>
  <c r="S19" i="7"/>
  <c r="G19" i="7"/>
  <c r="N19" i="7" s="1"/>
  <c r="F19" i="7"/>
  <c r="T18" i="7"/>
  <c r="S18" i="7"/>
  <c r="N18" i="7"/>
  <c r="O18" i="7" s="1"/>
  <c r="O19" i="7" s="1"/>
  <c r="G18" i="7"/>
  <c r="F18" i="7"/>
  <c r="T17" i="7"/>
  <c r="S17" i="7"/>
  <c r="G17" i="7"/>
  <c r="N17" i="7" s="1"/>
  <c r="F17" i="7"/>
  <c r="T16" i="7"/>
  <c r="S16" i="7"/>
  <c r="G16" i="7"/>
  <c r="N16" i="7" s="1"/>
  <c r="F16" i="7"/>
  <c r="T15" i="7"/>
  <c r="S15" i="7"/>
  <c r="G15" i="7"/>
  <c r="N15" i="7" s="1"/>
  <c r="F15" i="7"/>
  <c r="T14" i="7"/>
  <c r="S14" i="7"/>
  <c r="G14" i="7"/>
  <c r="N14" i="7" s="1"/>
  <c r="O14" i="7" s="1"/>
  <c r="F14" i="7"/>
  <c r="T13" i="7"/>
  <c r="S13" i="7"/>
  <c r="N13" i="7"/>
  <c r="G13" i="7"/>
  <c r="F13" i="7"/>
  <c r="T12" i="7"/>
  <c r="S12" i="7"/>
  <c r="G12" i="7"/>
  <c r="N12" i="7" s="1"/>
  <c r="F12" i="7"/>
  <c r="T11" i="7"/>
  <c r="S11" i="7"/>
  <c r="G11" i="7"/>
  <c r="N11" i="7" s="1"/>
  <c r="F11" i="7"/>
  <c r="T10" i="7"/>
  <c r="S10" i="7"/>
  <c r="G10" i="7"/>
  <c r="N10" i="7" s="1"/>
  <c r="O10" i="7" s="1"/>
  <c r="F10" i="7"/>
  <c r="T9" i="7"/>
  <c r="S9" i="7"/>
  <c r="G9" i="7"/>
  <c r="N9" i="7" s="1"/>
  <c r="F9" i="7"/>
  <c r="T8" i="7"/>
  <c r="S8" i="7"/>
  <c r="G8" i="7"/>
  <c r="N8" i="7" s="1"/>
  <c r="F8" i="7"/>
  <c r="T7" i="7"/>
  <c r="S7" i="7"/>
  <c r="G7" i="7"/>
  <c r="N7" i="7" s="1"/>
  <c r="F7" i="7"/>
  <c r="T6" i="7"/>
  <c r="S6" i="7"/>
  <c r="G6" i="7"/>
  <c r="N6" i="7" s="1"/>
  <c r="O6" i="7" s="1"/>
  <c r="F6" i="7"/>
  <c r="T5" i="7"/>
  <c r="S5" i="7"/>
  <c r="G5" i="7"/>
  <c r="N5" i="7" s="1"/>
  <c r="O5" i="7" s="1"/>
  <c r="R2" i="7" s="1"/>
  <c r="F5" i="7"/>
  <c r="T4" i="7"/>
  <c r="S4" i="7"/>
  <c r="G4" i="7"/>
  <c r="N4" i="7" s="1"/>
  <c r="O4" i="7" s="1"/>
  <c r="F4" i="7"/>
  <c r="T3" i="7"/>
  <c r="S3" i="7"/>
  <c r="N3" i="7"/>
  <c r="O3" i="7" s="1"/>
  <c r="G3" i="7"/>
  <c r="F3" i="7"/>
  <c r="T2" i="7"/>
  <c r="S2" i="7"/>
  <c r="G2" i="7"/>
  <c r="N2" i="7" s="1"/>
  <c r="O2" i="7" s="1"/>
  <c r="F2" i="7"/>
  <c r="S99" i="6"/>
  <c r="R99" i="6"/>
  <c r="G97" i="6"/>
  <c r="N97" i="6" s="1"/>
  <c r="F97" i="6"/>
  <c r="G96" i="6"/>
  <c r="N96" i="6" s="1"/>
  <c r="F96" i="6"/>
  <c r="G95" i="6"/>
  <c r="N95" i="6" s="1"/>
  <c r="F95" i="6"/>
  <c r="G94" i="6"/>
  <c r="N94" i="6" s="1"/>
  <c r="O94" i="6" s="1"/>
  <c r="F94" i="6"/>
  <c r="G93" i="6"/>
  <c r="N93" i="6" s="1"/>
  <c r="O93" i="6" s="1"/>
  <c r="R24" i="6" s="1"/>
  <c r="F93" i="6"/>
  <c r="G92" i="6"/>
  <c r="N92" i="6" s="1"/>
  <c r="O92" i="6" s="1"/>
  <c r="F92" i="6"/>
  <c r="G91" i="6"/>
  <c r="N91" i="6" s="1"/>
  <c r="O91" i="6" s="1"/>
  <c r="F91" i="6"/>
  <c r="G90" i="6"/>
  <c r="N90" i="6" s="1"/>
  <c r="O90" i="6" s="1"/>
  <c r="F90" i="6"/>
  <c r="G89" i="6"/>
  <c r="N89" i="6" s="1"/>
  <c r="F89" i="6"/>
  <c r="G88" i="6"/>
  <c r="N88" i="6" s="1"/>
  <c r="F88" i="6"/>
  <c r="G87" i="6"/>
  <c r="N87" i="6" s="1"/>
  <c r="F87" i="6"/>
  <c r="G86" i="6"/>
  <c r="N86" i="6" s="1"/>
  <c r="O86" i="6" s="1"/>
  <c r="F86" i="6"/>
  <c r="G85" i="6"/>
  <c r="N85" i="6" s="1"/>
  <c r="O85" i="6" s="1"/>
  <c r="F85" i="6"/>
  <c r="G84" i="6"/>
  <c r="N84" i="6" s="1"/>
  <c r="O84" i="6" s="1"/>
  <c r="F84" i="6"/>
  <c r="G83" i="6"/>
  <c r="N83" i="6" s="1"/>
  <c r="O83" i="6" s="1"/>
  <c r="F83" i="6"/>
  <c r="G82" i="6"/>
  <c r="N82" i="6" s="1"/>
  <c r="O82" i="6" s="1"/>
  <c r="F82" i="6"/>
  <c r="G81" i="6"/>
  <c r="N81" i="6" s="1"/>
  <c r="F81" i="6"/>
  <c r="G80" i="6"/>
  <c r="N80" i="6" s="1"/>
  <c r="F80" i="6"/>
  <c r="G79" i="6"/>
  <c r="N79" i="6" s="1"/>
  <c r="F79" i="6"/>
  <c r="G78" i="6"/>
  <c r="N78" i="6" s="1"/>
  <c r="O78" i="6" s="1"/>
  <c r="F78" i="6"/>
  <c r="G77" i="6"/>
  <c r="N77" i="6" s="1"/>
  <c r="O77" i="6" s="1"/>
  <c r="R20" i="6" s="1"/>
  <c r="F77" i="6"/>
  <c r="G76" i="6"/>
  <c r="N76" i="6" s="1"/>
  <c r="O76" i="6" s="1"/>
  <c r="F76" i="6"/>
  <c r="G75" i="6"/>
  <c r="N75" i="6" s="1"/>
  <c r="O75" i="6" s="1"/>
  <c r="F75" i="6"/>
  <c r="G74" i="6"/>
  <c r="N74" i="6" s="1"/>
  <c r="O74" i="6" s="1"/>
  <c r="F74" i="6"/>
  <c r="G73" i="6"/>
  <c r="N73" i="6" s="1"/>
  <c r="O73" i="6" s="1"/>
  <c r="R19" i="6" s="1"/>
  <c r="F73" i="6"/>
  <c r="G72" i="6"/>
  <c r="N72" i="6" s="1"/>
  <c r="O72" i="6" s="1"/>
  <c r="F72" i="6"/>
  <c r="G71" i="6"/>
  <c r="N71" i="6" s="1"/>
  <c r="O71" i="6" s="1"/>
  <c r="F71" i="6"/>
  <c r="G70" i="6"/>
  <c r="N70" i="6" s="1"/>
  <c r="O70" i="6" s="1"/>
  <c r="F70" i="6"/>
  <c r="G69" i="6"/>
  <c r="N69" i="6" s="1"/>
  <c r="F69" i="6"/>
  <c r="G68" i="6"/>
  <c r="N68" i="6" s="1"/>
  <c r="F68" i="6"/>
  <c r="G67" i="6"/>
  <c r="N67" i="6" s="1"/>
  <c r="O67" i="6" s="1"/>
  <c r="F67" i="6"/>
  <c r="G66" i="6"/>
  <c r="N66" i="6" s="1"/>
  <c r="O66" i="6" s="1"/>
  <c r="F66" i="6"/>
  <c r="G65" i="6"/>
  <c r="N65" i="6" s="1"/>
  <c r="F65" i="6"/>
  <c r="G64" i="6"/>
  <c r="N64" i="6" s="1"/>
  <c r="F64" i="6"/>
  <c r="G63" i="6"/>
  <c r="N63" i="6" s="1"/>
  <c r="O63" i="6" s="1"/>
  <c r="F63" i="6"/>
  <c r="G62" i="6"/>
  <c r="N62" i="6" s="1"/>
  <c r="O62" i="6" s="1"/>
  <c r="F62" i="6"/>
  <c r="G61" i="6"/>
  <c r="N61" i="6" s="1"/>
  <c r="O61" i="6" s="1"/>
  <c r="R16" i="6" s="1"/>
  <c r="F61" i="6"/>
  <c r="G60" i="6"/>
  <c r="N60" i="6" s="1"/>
  <c r="O60" i="6" s="1"/>
  <c r="F60" i="6"/>
  <c r="G59" i="6"/>
  <c r="N59" i="6" s="1"/>
  <c r="O59" i="6" s="1"/>
  <c r="F59" i="6"/>
  <c r="G58" i="6"/>
  <c r="N58" i="6" s="1"/>
  <c r="O58" i="6" s="1"/>
  <c r="F58" i="6"/>
  <c r="G57" i="6"/>
  <c r="N57" i="6" s="1"/>
  <c r="F57" i="6"/>
  <c r="G56" i="6"/>
  <c r="N56" i="6" s="1"/>
  <c r="F56" i="6"/>
  <c r="G55" i="6"/>
  <c r="N55" i="6" s="1"/>
  <c r="O55" i="6" s="1"/>
  <c r="F55" i="6"/>
  <c r="G54" i="6"/>
  <c r="N54" i="6" s="1"/>
  <c r="O54" i="6" s="1"/>
  <c r="F54" i="6"/>
  <c r="G53" i="6"/>
  <c r="N53" i="6" s="1"/>
  <c r="F53" i="6"/>
  <c r="G52" i="6"/>
  <c r="N52" i="6" s="1"/>
  <c r="F52" i="6"/>
  <c r="G51" i="6"/>
  <c r="N51" i="6" s="1"/>
  <c r="O51" i="6" s="1"/>
  <c r="F51" i="6"/>
  <c r="G50" i="6"/>
  <c r="N50" i="6" s="1"/>
  <c r="O50" i="6" s="1"/>
  <c r="F50" i="6"/>
  <c r="G49" i="6"/>
  <c r="N49" i="6" s="1"/>
  <c r="O49" i="6" s="1"/>
  <c r="R13" i="6" s="1"/>
  <c r="F49" i="6"/>
  <c r="G48" i="6"/>
  <c r="N48" i="6" s="1"/>
  <c r="O48" i="6" s="1"/>
  <c r="F48" i="6"/>
  <c r="G47" i="6"/>
  <c r="N47" i="6" s="1"/>
  <c r="O47" i="6" s="1"/>
  <c r="F47" i="6"/>
  <c r="G46" i="6"/>
  <c r="N46" i="6" s="1"/>
  <c r="O46" i="6" s="1"/>
  <c r="F46" i="6"/>
  <c r="G45" i="6"/>
  <c r="N45" i="6" s="1"/>
  <c r="F45" i="6"/>
  <c r="G44" i="6"/>
  <c r="N44" i="6" s="1"/>
  <c r="F44" i="6"/>
  <c r="G43" i="6"/>
  <c r="N43" i="6" s="1"/>
  <c r="O43" i="6" s="1"/>
  <c r="F43" i="6"/>
  <c r="G42" i="6"/>
  <c r="N42" i="6" s="1"/>
  <c r="O42" i="6" s="1"/>
  <c r="F42" i="6"/>
  <c r="G41" i="6"/>
  <c r="N41" i="6" s="1"/>
  <c r="F41" i="6"/>
  <c r="G40" i="6"/>
  <c r="N40" i="6" s="1"/>
  <c r="F40" i="6"/>
  <c r="G39" i="6"/>
  <c r="N39" i="6" s="1"/>
  <c r="O39" i="6" s="1"/>
  <c r="F39" i="6"/>
  <c r="G38" i="6"/>
  <c r="N38" i="6" s="1"/>
  <c r="O38" i="6" s="1"/>
  <c r="F38" i="6"/>
  <c r="G37" i="6"/>
  <c r="N37" i="6" s="1"/>
  <c r="O37" i="6" s="1"/>
  <c r="R10" i="6" s="1"/>
  <c r="F37" i="6"/>
  <c r="G36" i="6"/>
  <c r="N36" i="6" s="1"/>
  <c r="O36" i="6" s="1"/>
  <c r="F36" i="6"/>
  <c r="G35" i="6"/>
  <c r="N35" i="6" s="1"/>
  <c r="O35" i="6" s="1"/>
  <c r="F35" i="6"/>
  <c r="G34" i="6"/>
  <c r="N34" i="6" s="1"/>
  <c r="O34" i="6" s="1"/>
  <c r="F34" i="6"/>
  <c r="G33" i="6"/>
  <c r="N33" i="6" s="1"/>
  <c r="F33" i="6"/>
  <c r="G32" i="6"/>
  <c r="N32" i="6" s="1"/>
  <c r="F32" i="6"/>
  <c r="G31" i="6"/>
  <c r="N31" i="6" s="1"/>
  <c r="F31" i="6"/>
  <c r="G30" i="6"/>
  <c r="N30" i="6" s="1"/>
  <c r="O30" i="6" s="1"/>
  <c r="F30" i="6"/>
  <c r="G29" i="6"/>
  <c r="N29" i="6" s="1"/>
  <c r="F29" i="6"/>
  <c r="G28" i="6"/>
  <c r="N28" i="6" s="1"/>
  <c r="F28" i="6"/>
  <c r="G27" i="6"/>
  <c r="N27" i="6" s="1"/>
  <c r="O27" i="6" s="1"/>
  <c r="F27" i="6"/>
  <c r="G26" i="6"/>
  <c r="N26" i="6" s="1"/>
  <c r="O26" i="6" s="1"/>
  <c r="F26" i="6"/>
  <c r="T25" i="6"/>
  <c r="S25" i="6"/>
  <c r="N25" i="6"/>
  <c r="G25" i="6"/>
  <c r="F25" i="6"/>
  <c r="T24" i="6"/>
  <c r="S24" i="6"/>
  <c r="N24" i="6"/>
  <c r="G24" i="6"/>
  <c r="F24" i="6"/>
  <c r="T23" i="6"/>
  <c r="S23" i="6"/>
  <c r="G23" i="6"/>
  <c r="N23" i="6" s="1"/>
  <c r="O23" i="6" s="1"/>
  <c r="F23" i="6"/>
  <c r="T22" i="6"/>
  <c r="S22" i="6"/>
  <c r="R22" i="6"/>
  <c r="G22" i="6"/>
  <c r="N22" i="6" s="1"/>
  <c r="O22" i="6" s="1"/>
  <c r="F22" i="6"/>
  <c r="T21" i="6"/>
  <c r="S21" i="6"/>
  <c r="N21" i="6"/>
  <c r="G21" i="6"/>
  <c r="F21" i="6"/>
  <c r="T20" i="6"/>
  <c r="S20" i="6"/>
  <c r="N20" i="6"/>
  <c r="G20" i="6"/>
  <c r="F20" i="6"/>
  <c r="T19" i="6"/>
  <c r="S19" i="6"/>
  <c r="N19" i="6"/>
  <c r="G19" i="6"/>
  <c r="F19" i="6"/>
  <c r="T18" i="6"/>
  <c r="S18" i="6"/>
  <c r="G18" i="6"/>
  <c r="N18" i="6" s="1"/>
  <c r="O18" i="6" s="1"/>
  <c r="F18" i="6"/>
  <c r="T17" i="6"/>
  <c r="S17" i="6"/>
  <c r="G17" i="6"/>
  <c r="N17" i="6" s="1"/>
  <c r="F17" i="6"/>
  <c r="T16" i="6"/>
  <c r="S16" i="6"/>
  <c r="N16" i="6"/>
  <c r="G16" i="6"/>
  <c r="F16" i="6"/>
  <c r="T15" i="6"/>
  <c r="S15" i="6"/>
  <c r="G15" i="6"/>
  <c r="N15" i="6" s="1"/>
  <c r="F15" i="6"/>
  <c r="T14" i="6"/>
  <c r="S14" i="6"/>
  <c r="G14" i="6"/>
  <c r="N14" i="6" s="1"/>
  <c r="O14" i="6" s="1"/>
  <c r="F14" i="6"/>
  <c r="T13" i="6"/>
  <c r="S13" i="6"/>
  <c r="N13" i="6"/>
  <c r="G13" i="6"/>
  <c r="F13" i="6"/>
  <c r="T12" i="6"/>
  <c r="S12" i="6"/>
  <c r="N12" i="6"/>
  <c r="G12" i="6"/>
  <c r="F12" i="6"/>
  <c r="T11" i="6"/>
  <c r="S11" i="6"/>
  <c r="N11" i="6"/>
  <c r="O11" i="6" s="1"/>
  <c r="O12" i="6" s="1"/>
  <c r="O13" i="6" s="1"/>
  <c r="R4" i="6" s="1"/>
  <c r="G11" i="6"/>
  <c r="F11" i="6"/>
  <c r="T10" i="6"/>
  <c r="S10" i="6"/>
  <c r="G10" i="6"/>
  <c r="N10" i="6" s="1"/>
  <c r="O10" i="6" s="1"/>
  <c r="F10" i="6"/>
  <c r="T9" i="6"/>
  <c r="S9" i="6"/>
  <c r="N9" i="6"/>
  <c r="G9" i="6"/>
  <c r="F9" i="6"/>
  <c r="T8" i="6"/>
  <c r="S8" i="6"/>
  <c r="N8" i="6"/>
  <c r="O8" i="6" s="1"/>
  <c r="O9" i="6" s="1"/>
  <c r="R3" i="6" s="1"/>
  <c r="G8" i="6"/>
  <c r="F8" i="6"/>
  <c r="T7" i="6"/>
  <c r="S7" i="6"/>
  <c r="G7" i="6"/>
  <c r="N7" i="6" s="1"/>
  <c r="O7" i="6" s="1"/>
  <c r="F7" i="6"/>
  <c r="T6" i="6"/>
  <c r="S6" i="6"/>
  <c r="G6" i="6"/>
  <c r="N6" i="6" s="1"/>
  <c r="O6" i="6" s="1"/>
  <c r="F6" i="6"/>
  <c r="T5" i="6"/>
  <c r="S5" i="6"/>
  <c r="G5" i="6"/>
  <c r="N5" i="6" s="1"/>
  <c r="F5" i="6"/>
  <c r="T4" i="6"/>
  <c r="S4" i="6"/>
  <c r="G4" i="6"/>
  <c r="N4" i="6" s="1"/>
  <c r="F4" i="6"/>
  <c r="T3" i="6"/>
  <c r="S3" i="6"/>
  <c r="G3" i="6"/>
  <c r="N3" i="6" s="1"/>
  <c r="F3" i="6"/>
  <c r="T2" i="6"/>
  <c r="S2" i="6"/>
  <c r="G2" i="6"/>
  <c r="N2" i="6" s="1"/>
  <c r="O2" i="6" s="1"/>
  <c r="F2" i="6"/>
  <c r="S75" i="5"/>
  <c r="R75" i="5"/>
  <c r="O73" i="5"/>
  <c r="R25" i="5" s="1"/>
  <c r="N73" i="5"/>
  <c r="G73" i="5"/>
  <c r="F73" i="5"/>
  <c r="O72" i="5"/>
  <c r="N72" i="5"/>
  <c r="G72" i="5"/>
  <c r="F72" i="5"/>
  <c r="O71" i="5"/>
  <c r="N71" i="5"/>
  <c r="G71" i="5"/>
  <c r="F71" i="5"/>
  <c r="O70" i="5"/>
  <c r="R24" i="5" s="1"/>
  <c r="N70" i="5"/>
  <c r="G70" i="5"/>
  <c r="F70" i="5"/>
  <c r="O69" i="5"/>
  <c r="N69" i="5"/>
  <c r="G69" i="5"/>
  <c r="F69" i="5"/>
  <c r="O68" i="5"/>
  <c r="N68" i="5"/>
  <c r="G68" i="5"/>
  <c r="F68" i="5"/>
  <c r="O67" i="5"/>
  <c r="R23" i="5" s="1"/>
  <c r="N67" i="5"/>
  <c r="G67" i="5"/>
  <c r="F67" i="5"/>
  <c r="O66" i="5"/>
  <c r="N66" i="5"/>
  <c r="G66" i="5"/>
  <c r="F66" i="5"/>
  <c r="O65" i="5"/>
  <c r="N65" i="5"/>
  <c r="G65" i="5"/>
  <c r="F65" i="5"/>
  <c r="O64" i="5"/>
  <c r="R22" i="5" s="1"/>
  <c r="N64" i="5"/>
  <c r="G64" i="5"/>
  <c r="F64" i="5"/>
  <c r="O63" i="5"/>
  <c r="N63" i="5"/>
  <c r="G63" i="5"/>
  <c r="F63" i="5"/>
  <c r="O62" i="5"/>
  <c r="N62" i="5"/>
  <c r="G62" i="5"/>
  <c r="F62" i="5"/>
  <c r="O61" i="5"/>
  <c r="R21" i="5" s="1"/>
  <c r="N61" i="5"/>
  <c r="G61" i="5"/>
  <c r="F61" i="5"/>
  <c r="O60" i="5"/>
  <c r="N60" i="5"/>
  <c r="G60" i="5"/>
  <c r="F60" i="5"/>
  <c r="O59" i="5"/>
  <c r="N59" i="5"/>
  <c r="G59" i="5"/>
  <c r="F59" i="5"/>
  <c r="O58" i="5"/>
  <c r="N58" i="5"/>
  <c r="G58" i="5"/>
  <c r="F58" i="5"/>
  <c r="O57" i="5"/>
  <c r="N57" i="5"/>
  <c r="G57" i="5"/>
  <c r="F57" i="5"/>
  <c r="O56" i="5"/>
  <c r="N56" i="5"/>
  <c r="G56" i="5"/>
  <c r="F56" i="5"/>
  <c r="O55" i="5"/>
  <c r="R19" i="5" s="1"/>
  <c r="N55" i="5"/>
  <c r="G55" i="5"/>
  <c r="F55" i="5"/>
  <c r="O54" i="5"/>
  <c r="N54" i="5"/>
  <c r="G54" i="5"/>
  <c r="F54" i="5"/>
  <c r="O53" i="5"/>
  <c r="N53" i="5"/>
  <c r="G53" i="5"/>
  <c r="F53" i="5"/>
  <c r="O52" i="5"/>
  <c r="R18" i="5" s="1"/>
  <c r="N52" i="5"/>
  <c r="G52" i="5"/>
  <c r="F52" i="5"/>
  <c r="O51" i="5"/>
  <c r="N51" i="5"/>
  <c r="G51" i="5"/>
  <c r="F51" i="5"/>
  <c r="O50" i="5"/>
  <c r="N50" i="5"/>
  <c r="G50" i="5"/>
  <c r="F50" i="5"/>
  <c r="O49" i="5"/>
  <c r="R17" i="5" s="1"/>
  <c r="N49" i="5"/>
  <c r="G49" i="5"/>
  <c r="F49" i="5"/>
  <c r="O48" i="5"/>
  <c r="N48" i="5"/>
  <c r="G48" i="5"/>
  <c r="F48" i="5"/>
  <c r="O47" i="5"/>
  <c r="N47" i="5"/>
  <c r="G47" i="5"/>
  <c r="F47" i="5"/>
  <c r="O46" i="5"/>
  <c r="R16" i="5" s="1"/>
  <c r="N46" i="5"/>
  <c r="G46" i="5"/>
  <c r="F46" i="5"/>
  <c r="O45" i="5"/>
  <c r="N45" i="5"/>
  <c r="G45" i="5"/>
  <c r="F45" i="5"/>
  <c r="O44" i="5"/>
  <c r="N44" i="5"/>
  <c r="G44" i="5"/>
  <c r="F44" i="5"/>
  <c r="O43" i="5"/>
  <c r="R15" i="5" s="1"/>
  <c r="N43" i="5"/>
  <c r="G43" i="5"/>
  <c r="F43" i="5"/>
  <c r="O42" i="5"/>
  <c r="N42" i="5"/>
  <c r="G42" i="5"/>
  <c r="F42" i="5"/>
  <c r="O41" i="5"/>
  <c r="N41" i="5"/>
  <c r="G41" i="5"/>
  <c r="F41" i="5"/>
  <c r="O40" i="5"/>
  <c r="R14" i="5" s="1"/>
  <c r="N40" i="5"/>
  <c r="G40" i="5"/>
  <c r="F40" i="5"/>
  <c r="O39" i="5"/>
  <c r="N39" i="5"/>
  <c r="G39" i="5"/>
  <c r="F39" i="5"/>
  <c r="O38" i="5"/>
  <c r="N38" i="5"/>
  <c r="G38" i="5"/>
  <c r="F38" i="5"/>
  <c r="O37" i="5"/>
  <c r="N37" i="5"/>
  <c r="G37" i="5"/>
  <c r="F37" i="5"/>
  <c r="O36" i="5"/>
  <c r="N36" i="5"/>
  <c r="G36" i="5"/>
  <c r="F36" i="5"/>
  <c r="O35" i="5"/>
  <c r="N35" i="5"/>
  <c r="G35" i="5"/>
  <c r="F35" i="5"/>
  <c r="O34" i="5"/>
  <c r="R12" i="5" s="1"/>
  <c r="N34" i="5"/>
  <c r="G34" i="5"/>
  <c r="F34" i="5"/>
  <c r="O33" i="5"/>
  <c r="N33" i="5"/>
  <c r="G33" i="5"/>
  <c r="F33" i="5"/>
  <c r="O32" i="5"/>
  <c r="N32" i="5"/>
  <c r="G32" i="5"/>
  <c r="F32" i="5"/>
  <c r="O31" i="5"/>
  <c r="N31" i="5"/>
  <c r="G31" i="5"/>
  <c r="F31" i="5"/>
  <c r="O30" i="5"/>
  <c r="N30" i="5"/>
  <c r="G30" i="5"/>
  <c r="F30" i="5"/>
  <c r="O29" i="5"/>
  <c r="N29" i="5"/>
  <c r="G29" i="5"/>
  <c r="F29" i="5"/>
  <c r="O28" i="5"/>
  <c r="R10" i="5" s="1"/>
  <c r="N28" i="5"/>
  <c r="G28" i="5"/>
  <c r="F28" i="5"/>
  <c r="O27" i="5"/>
  <c r="N27" i="5"/>
  <c r="G27" i="5"/>
  <c r="F27" i="5"/>
  <c r="O26" i="5"/>
  <c r="N26" i="5"/>
  <c r="G26" i="5"/>
  <c r="F26" i="5"/>
  <c r="T25" i="5"/>
  <c r="S25" i="5"/>
  <c r="G25" i="5"/>
  <c r="N25" i="5" s="1"/>
  <c r="F25" i="5"/>
  <c r="T24" i="5"/>
  <c r="S24" i="5"/>
  <c r="G24" i="5"/>
  <c r="N24" i="5" s="1"/>
  <c r="F24" i="5"/>
  <c r="T23" i="5"/>
  <c r="S23" i="5"/>
  <c r="N23" i="5"/>
  <c r="O23" i="5" s="1"/>
  <c r="G23" i="5"/>
  <c r="F23" i="5"/>
  <c r="T22" i="5"/>
  <c r="S22" i="5"/>
  <c r="G22" i="5"/>
  <c r="N22" i="5" s="1"/>
  <c r="F22" i="5"/>
  <c r="T21" i="5"/>
  <c r="S21" i="5"/>
  <c r="G21" i="5"/>
  <c r="N21" i="5" s="1"/>
  <c r="O21" i="5" s="1"/>
  <c r="F21" i="5"/>
  <c r="T20" i="5"/>
  <c r="S20" i="5"/>
  <c r="R20" i="5"/>
  <c r="G20" i="5"/>
  <c r="N20" i="5" s="1"/>
  <c r="O20" i="5" s="1"/>
  <c r="F20" i="5"/>
  <c r="T19" i="5"/>
  <c r="S19" i="5"/>
  <c r="G19" i="5"/>
  <c r="N19" i="5" s="1"/>
  <c r="O19" i="5" s="1"/>
  <c r="R7" i="5" s="1"/>
  <c r="F19" i="5"/>
  <c r="T18" i="5"/>
  <c r="S18" i="5"/>
  <c r="G18" i="5"/>
  <c r="N18" i="5" s="1"/>
  <c r="O18" i="5" s="1"/>
  <c r="F18" i="5"/>
  <c r="T17" i="5"/>
  <c r="S17" i="5"/>
  <c r="N17" i="5"/>
  <c r="O17" i="5" s="1"/>
  <c r="G17" i="5"/>
  <c r="F17" i="5"/>
  <c r="T16" i="5"/>
  <c r="S16" i="5"/>
  <c r="G16" i="5"/>
  <c r="N16" i="5" s="1"/>
  <c r="F16" i="5"/>
  <c r="T15" i="5"/>
  <c r="S15" i="5"/>
  <c r="G15" i="5"/>
  <c r="N15" i="5" s="1"/>
  <c r="F15" i="5"/>
  <c r="T14" i="5"/>
  <c r="S14" i="5"/>
  <c r="G14" i="5"/>
  <c r="N14" i="5" s="1"/>
  <c r="O14" i="5" s="1"/>
  <c r="F14" i="5"/>
  <c r="T13" i="5"/>
  <c r="S13" i="5"/>
  <c r="R13" i="5"/>
  <c r="G13" i="5"/>
  <c r="N13" i="5" s="1"/>
  <c r="O13" i="5" s="1"/>
  <c r="R5" i="5" s="1"/>
  <c r="F13" i="5"/>
  <c r="T12" i="5"/>
  <c r="S12" i="5"/>
  <c r="G12" i="5"/>
  <c r="N12" i="5" s="1"/>
  <c r="O12" i="5" s="1"/>
  <c r="F12" i="5"/>
  <c r="T11" i="5"/>
  <c r="S11" i="5"/>
  <c r="R11" i="5"/>
  <c r="G11" i="5"/>
  <c r="N11" i="5" s="1"/>
  <c r="O11" i="5" s="1"/>
  <c r="F11" i="5"/>
  <c r="T10" i="5"/>
  <c r="S10" i="5"/>
  <c r="G10" i="5"/>
  <c r="N10" i="5" s="1"/>
  <c r="O10" i="5" s="1"/>
  <c r="R4" i="5" s="1"/>
  <c r="F10" i="5"/>
  <c r="T9" i="5"/>
  <c r="S9" i="5"/>
  <c r="N9" i="5"/>
  <c r="O9" i="5" s="1"/>
  <c r="G9" i="5"/>
  <c r="F9" i="5"/>
  <c r="T8" i="5"/>
  <c r="S8" i="5"/>
  <c r="O8" i="5"/>
  <c r="G8" i="5"/>
  <c r="N8" i="5" s="1"/>
  <c r="F8" i="5"/>
  <c r="T7" i="5"/>
  <c r="S7" i="5"/>
  <c r="G7" i="5"/>
  <c r="N7" i="5" s="1"/>
  <c r="O7" i="5" s="1"/>
  <c r="R3" i="5" s="1"/>
  <c r="F7" i="5"/>
  <c r="T6" i="5"/>
  <c r="S6" i="5"/>
  <c r="G6" i="5"/>
  <c r="N6" i="5" s="1"/>
  <c r="O6" i="5" s="1"/>
  <c r="F6" i="5"/>
  <c r="T5" i="5"/>
  <c r="S5" i="5"/>
  <c r="G5" i="5"/>
  <c r="N5" i="5" s="1"/>
  <c r="O5" i="5" s="1"/>
  <c r="F5" i="5"/>
  <c r="T4" i="5"/>
  <c r="S4" i="5"/>
  <c r="G4" i="5"/>
  <c r="N4" i="5" s="1"/>
  <c r="F4" i="5"/>
  <c r="T3" i="5"/>
  <c r="S3" i="5"/>
  <c r="G3" i="5"/>
  <c r="N3" i="5" s="1"/>
  <c r="F3" i="5"/>
  <c r="T2" i="5"/>
  <c r="S2" i="5"/>
  <c r="G2" i="5"/>
  <c r="N2" i="5" s="1"/>
  <c r="O2" i="5" s="1"/>
  <c r="F2" i="5"/>
  <c r="S75" i="4"/>
  <c r="R75" i="4"/>
  <c r="G73" i="4"/>
  <c r="N73" i="4" s="1"/>
  <c r="F73" i="4"/>
  <c r="G72" i="4"/>
  <c r="N72" i="4" s="1"/>
  <c r="F72" i="4"/>
  <c r="G71" i="4"/>
  <c r="N71" i="4" s="1"/>
  <c r="O71" i="4" s="1"/>
  <c r="O72" i="4" s="1"/>
  <c r="F71" i="4"/>
  <c r="G70" i="4"/>
  <c r="N70" i="4" s="1"/>
  <c r="F70" i="4"/>
  <c r="G69" i="4"/>
  <c r="N69" i="4" s="1"/>
  <c r="F69" i="4"/>
  <c r="O68" i="4"/>
  <c r="G68" i="4"/>
  <c r="N68" i="4" s="1"/>
  <c r="F68" i="4"/>
  <c r="G67" i="4"/>
  <c r="N67" i="4" s="1"/>
  <c r="F67" i="4"/>
  <c r="G66" i="4"/>
  <c r="N66" i="4" s="1"/>
  <c r="F66" i="4"/>
  <c r="G65" i="4"/>
  <c r="N65" i="4" s="1"/>
  <c r="O65" i="4" s="1"/>
  <c r="O66" i="4" s="1"/>
  <c r="F65" i="4"/>
  <c r="G64" i="4"/>
  <c r="N64" i="4" s="1"/>
  <c r="F64" i="4"/>
  <c r="G63" i="4"/>
  <c r="N63" i="4" s="1"/>
  <c r="O63" i="4" s="1"/>
  <c r="O64" i="4" s="1"/>
  <c r="R22" i="4" s="1"/>
  <c r="F63" i="4"/>
  <c r="O62" i="4"/>
  <c r="G62" i="4"/>
  <c r="N62" i="4" s="1"/>
  <c r="F62" i="4"/>
  <c r="G61" i="4"/>
  <c r="N61" i="4" s="1"/>
  <c r="O61" i="4" s="1"/>
  <c r="F61" i="4"/>
  <c r="O60" i="4"/>
  <c r="G60" i="4"/>
  <c r="N60" i="4" s="1"/>
  <c r="F60" i="4"/>
  <c r="G59" i="4"/>
  <c r="N59" i="4" s="1"/>
  <c r="O59" i="4" s="1"/>
  <c r="F59" i="4"/>
  <c r="G58" i="4"/>
  <c r="N58" i="4" s="1"/>
  <c r="F58" i="4"/>
  <c r="G57" i="4"/>
  <c r="N57" i="4" s="1"/>
  <c r="O57" i="4" s="1"/>
  <c r="O58" i="4" s="1"/>
  <c r="R20" i="4" s="1"/>
  <c r="F57" i="4"/>
  <c r="O56" i="4"/>
  <c r="G56" i="4"/>
  <c r="N56" i="4" s="1"/>
  <c r="F56" i="4"/>
  <c r="G55" i="4"/>
  <c r="N55" i="4" s="1"/>
  <c r="O55" i="4" s="1"/>
  <c r="F55" i="4"/>
  <c r="O54" i="4"/>
  <c r="G54" i="4"/>
  <c r="N54" i="4" s="1"/>
  <c r="F54" i="4"/>
  <c r="G53" i="4"/>
  <c r="N53" i="4" s="1"/>
  <c r="O53" i="4" s="1"/>
  <c r="F53" i="4"/>
  <c r="G52" i="4"/>
  <c r="N52" i="4" s="1"/>
  <c r="F52" i="4"/>
  <c r="G51" i="4"/>
  <c r="N51" i="4" s="1"/>
  <c r="F51" i="4"/>
  <c r="G50" i="4"/>
  <c r="N50" i="4" s="1"/>
  <c r="O50" i="4" s="1"/>
  <c r="F50" i="4"/>
  <c r="O49" i="4"/>
  <c r="G49" i="4"/>
  <c r="N49" i="4" s="1"/>
  <c r="F49" i="4"/>
  <c r="G48" i="4"/>
  <c r="N48" i="4" s="1"/>
  <c r="O48" i="4" s="1"/>
  <c r="F48" i="4"/>
  <c r="G47" i="4"/>
  <c r="N47" i="4" s="1"/>
  <c r="O47" i="4" s="1"/>
  <c r="F47" i="4"/>
  <c r="G46" i="4"/>
  <c r="N46" i="4" s="1"/>
  <c r="F46" i="4"/>
  <c r="G45" i="4"/>
  <c r="N45" i="4" s="1"/>
  <c r="F45" i="4"/>
  <c r="G44" i="4"/>
  <c r="N44" i="4" s="1"/>
  <c r="O44" i="4" s="1"/>
  <c r="F44" i="4"/>
  <c r="G43" i="4"/>
  <c r="N43" i="4" s="1"/>
  <c r="F43" i="4"/>
  <c r="G42" i="4"/>
  <c r="N42" i="4" s="1"/>
  <c r="O42" i="4" s="1"/>
  <c r="F42" i="4"/>
  <c r="G41" i="4"/>
  <c r="N41" i="4" s="1"/>
  <c r="O41" i="4" s="1"/>
  <c r="F41" i="4"/>
  <c r="G40" i="4"/>
  <c r="N40" i="4" s="1"/>
  <c r="F40" i="4"/>
  <c r="G39" i="4"/>
  <c r="N39" i="4" s="1"/>
  <c r="F39" i="4"/>
  <c r="G38" i="4"/>
  <c r="N38" i="4" s="1"/>
  <c r="O38" i="4" s="1"/>
  <c r="O39" i="4" s="1"/>
  <c r="F38" i="4"/>
  <c r="G37" i="4"/>
  <c r="N37" i="4" s="1"/>
  <c r="F37" i="4"/>
  <c r="G36" i="4"/>
  <c r="N36" i="4" s="1"/>
  <c r="O36" i="4" s="1"/>
  <c r="F36" i="4"/>
  <c r="O35" i="4"/>
  <c r="G35" i="4"/>
  <c r="N35" i="4" s="1"/>
  <c r="F35" i="4"/>
  <c r="G34" i="4"/>
  <c r="N34" i="4" s="1"/>
  <c r="F34" i="4"/>
  <c r="G33" i="4"/>
  <c r="N33" i="4" s="1"/>
  <c r="F33" i="4"/>
  <c r="G32" i="4"/>
  <c r="N32" i="4" s="1"/>
  <c r="O32" i="4" s="1"/>
  <c r="F32" i="4"/>
  <c r="G31" i="4"/>
  <c r="N31" i="4" s="1"/>
  <c r="F31" i="4"/>
  <c r="G30" i="4"/>
  <c r="N30" i="4" s="1"/>
  <c r="F30" i="4"/>
  <c r="G29" i="4"/>
  <c r="N29" i="4" s="1"/>
  <c r="O29" i="4" s="1"/>
  <c r="F29" i="4"/>
  <c r="O28" i="4"/>
  <c r="G28" i="4"/>
  <c r="N28" i="4" s="1"/>
  <c r="F28" i="4"/>
  <c r="O27" i="4"/>
  <c r="G27" i="4"/>
  <c r="N27" i="4" s="1"/>
  <c r="F27" i="4"/>
  <c r="G26" i="4"/>
  <c r="N26" i="4" s="1"/>
  <c r="O26" i="4" s="1"/>
  <c r="F26" i="4"/>
  <c r="T25" i="4"/>
  <c r="S25" i="4"/>
  <c r="N25" i="4"/>
  <c r="G25" i="4"/>
  <c r="F25" i="4"/>
  <c r="T24" i="4"/>
  <c r="S24" i="4"/>
  <c r="N24" i="4"/>
  <c r="G24" i="4"/>
  <c r="F24" i="4"/>
  <c r="T23" i="4"/>
  <c r="S23" i="4"/>
  <c r="G23" i="4"/>
  <c r="N23" i="4" s="1"/>
  <c r="O23" i="4" s="1"/>
  <c r="F23" i="4"/>
  <c r="T22" i="4"/>
  <c r="S22" i="4"/>
  <c r="G22" i="4"/>
  <c r="N22" i="4" s="1"/>
  <c r="F22" i="4"/>
  <c r="T21" i="4"/>
  <c r="S21" i="4"/>
  <c r="R21" i="4"/>
  <c r="N21" i="4"/>
  <c r="O21" i="4" s="1"/>
  <c r="O22" i="4" s="1"/>
  <c r="R8" i="4" s="1"/>
  <c r="G21" i="4"/>
  <c r="F21" i="4"/>
  <c r="T20" i="4"/>
  <c r="S20" i="4"/>
  <c r="O20" i="4"/>
  <c r="N20" i="4"/>
  <c r="G20" i="4"/>
  <c r="F20" i="4"/>
  <c r="T19" i="4"/>
  <c r="S19" i="4"/>
  <c r="R19" i="4"/>
  <c r="G19" i="4"/>
  <c r="N19" i="4" s="1"/>
  <c r="O19" i="4" s="1"/>
  <c r="R7" i="4" s="1"/>
  <c r="F19" i="4"/>
  <c r="T18" i="4"/>
  <c r="S18" i="4"/>
  <c r="G18" i="4"/>
  <c r="N18" i="4" s="1"/>
  <c r="F18" i="4"/>
  <c r="T17" i="4"/>
  <c r="S17" i="4"/>
  <c r="R17" i="4"/>
  <c r="N17" i="4"/>
  <c r="O17" i="4" s="1"/>
  <c r="O18" i="4" s="1"/>
  <c r="G17" i="4"/>
  <c r="F17" i="4"/>
  <c r="T16" i="4"/>
  <c r="S16" i="4"/>
  <c r="N16" i="4"/>
  <c r="O16" i="4" s="1"/>
  <c r="R6" i="4" s="1"/>
  <c r="G16" i="4"/>
  <c r="F16" i="4"/>
  <c r="T15" i="4"/>
  <c r="S15" i="4"/>
  <c r="N15" i="4"/>
  <c r="O15" i="4" s="1"/>
  <c r="G15" i="4"/>
  <c r="F15" i="4"/>
  <c r="T14" i="4"/>
  <c r="S14" i="4"/>
  <c r="O14" i="4"/>
  <c r="G14" i="4"/>
  <c r="N14" i="4" s="1"/>
  <c r="F14" i="4"/>
  <c r="T13" i="4"/>
  <c r="S13" i="4"/>
  <c r="N13" i="4"/>
  <c r="G13" i="4"/>
  <c r="F13" i="4"/>
  <c r="T12" i="4"/>
  <c r="S12" i="4"/>
  <c r="G12" i="4"/>
  <c r="N12" i="4" s="1"/>
  <c r="F12" i="4"/>
  <c r="T11" i="4"/>
  <c r="S11" i="4"/>
  <c r="G11" i="4"/>
  <c r="N11" i="4" s="1"/>
  <c r="O11" i="4" s="1"/>
  <c r="F11" i="4"/>
  <c r="T10" i="4"/>
  <c r="S10" i="4"/>
  <c r="R10" i="4"/>
  <c r="G10" i="4"/>
  <c r="N10" i="4" s="1"/>
  <c r="O10" i="4" s="1"/>
  <c r="R4" i="4" s="1"/>
  <c r="F10" i="4"/>
  <c r="T9" i="4"/>
  <c r="S9" i="4"/>
  <c r="N9" i="4"/>
  <c r="O9" i="4" s="1"/>
  <c r="G9" i="4"/>
  <c r="F9" i="4"/>
  <c r="T8" i="4"/>
  <c r="S8" i="4"/>
  <c r="N8" i="4"/>
  <c r="O8" i="4" s="1"/>
  <c r="G8" i="4"/>
  <c r="F8" i="4"/>
  <c r="T7" i="4"/>
  <c r="S7" i="4"/>
  <c r="N7" i="4"/>
  <c r="G7" i="4"/>
  <c r="F7" i="4"/>
  <c r="T6" i="4"/>
  <c r="S6" i="4"/>
  <c r="O6" i="4"/>
  <c r="G6" i="4"/>
  <c r="N6" i="4" s="1"/>
  <c r="F6" i="4"/>
  <c r="T5" i="4"/>
  <c r="S5" i="4"/>
  <c r="O5" i="4"/>
  <c r="N5" i="4"/>
  <c r="G5" i="4"/>
  <c r="F5" i="4"/>
  <c r="T4" i="4"/>
  <c r="S4" i="4"/>
  <c r="G4" i="4"/>
  <c r="N4" i="4" s="1"/>
  <c r="F4" i="4"/>
  <c r="T3" i="4"/>
  <c r="S3" i="4"/>
  <c r="G3" i="4"/>
  <c r="N3" i="4" s="1"/>
  <c r="F3" i="4"/>
  <c r="T2" i="4"/>
  <c r="S2" i="4"/>
  <c r="G2" i="4"/>
  <c r="N2" i="4" s="1"/>
  <c r="O2" i="4" s="1"/>
  <c r="F2" i="4"/>
  <c r="S75" i="3"/>
  <c r="R75" i="3"/>
  <c r="G73" i="3"/>
  <c r="N73" i="3" s="1"/>
  <c r="F73" i="3"/>
  <c r="G72" i="3"/>
  <c r="N72" i="3" s="1"/>
  <c r="F72" i="3"/>
  <c r="G71" i="3"/>
  <c r="N71" i="3" s="1"/>
  <c r="O71" i="3" s="1"/>
  <c r="F71" i="3"/>
  <c r="G70" i="3"/>
  <c r="N70" i="3" s="1"/>
  <c r="F70" i="3"/>
  <c r="G69" i="3"/>
  <c r="N69" i="3" s="1"/>
  <c r="O69" i="3" s="1"/>
  <c r="F69" i="3"/>
  <c r="G68" i="3"/>
  <c r="N68" i="3" s="1"/>
  <c r="O68" i="3" s="1"/>
  <c r="F68" i="3"/>
  <c r="G67" i="3"/>
  <c r="N67" i="3" s="1"/>
  <c r="F67" i="3"/>
  <c r="G66" i="3"/>
  <c r="N66" i="3" s="1"/>
  <c r="F66" i="3"/>
  <c r="G65" i="3"/>
  <c r="N65" i="3" s="1"/>
  <c r="O65" i="3" s="1"/>
  <c r="F65" i="3"/>
  <c r="G64" i="3"/>
  <c r="N64" i="3" s="1"/>
  <c r="F64" i="3"/>
  <c r="G63" i="3"/>
  <c r="N63" i="3" s="1"/>
  <c r="O63" i="3" s="1"/>
  <c r="F63" i="3"/>
  <c r="G62" i="3"/>
  <c r="N62" i="3" s="1"/>
  <c r="O62" i="3" s="1"/>
  <c r="F62" i="3"/>
  <c r="G61" i="3"/>
  <c r="N61" i="3" s="1"/>
  <c r="F61" i="3"/>
  <c r="G60" i="3"/>
  <c r="N60" i="3" s="1"/>
  <c r="F60" i="3"/>
  <c r="G59" i="3"/>
  <c r="N59" i="3" s="1"/>
  <c r="O59" i="3" s="1"/>
  <c r="F59" i="3"/>
  <c r="G58" i="3"/>
  <c r="N58" i="3" s="1"/>
  <c r="F58" i="3"/>
  <c r="G57" i="3"/>
  <c r="N57" i="3" s="1"/>
  <c r="O57" i="3" s="1"/>
  <c r="F57" i="3"/>
  <c r="G56" i="3"/>
  <c r="N56" i="3" s="1"/>
  <c r="O56" i="3" s="1"/>
  <c r="F56" i="3"/>
  <c r="G55" i="3"/>
  <c r="N55" i="3" s="1"/>
  <c r="F55" i="3"/>
  <c r="G54" i="3"/>
  <c r="N54" i="3" s="1"/>
  <c r="F54" i="3"/>
  <c r="G53" i="3"/>
  <c r="N53" i="3" s="1"/>
  <c r="O53" i="3" s="1"/>
  <c r="F53" i="3"/>
  <c r="G52" i="3"/>
  <c r="N52" i="3" s="1"/>
  <c r="F52" i="3"/>
  <c r="G51" i="3"/>
  <c r="N51" i="3" s="1"/>
  <c r="O51" i="3" s="1"/>
  <c r="F51" i="3"/>
  <c r="G50" i="3"/>
  <c r="N50" i="3" s="1"/>
  <c r="O50" i="3" s="1"/>
  <c r="F50" i="3"/>
  <c r="G49" i="3"/>
  <c r="N49" i="3" s="1"/>
  <c r="O49" i="3" s="1"/>
  <c r="R17" i="3" s="1"/>
  <c r="F49" i="3"/>
  <c r="G48" i="3"/>
  <c r="N48" i="3" s="1"/>
  <c r="O48" i="3" s="1"/>
  <c r="F48" i="3"/>
  <c r="G47" i="3"/>
  <c r="N47" i="3" s="1"/>
  <c r="O47" i="3" s="1"/>
  <c r="F47" i="3"/>
  <c r="G46" i="3"/>
  <c r="N46" i="3" s="1"/>
  <c r="F46" i="3"/>
  <c r="G45" i="3"/>
  <c r="N45" i="3" s="1"/>
  <c r="O45" i="3" s="1"/>
  <c r="F45" i="3"/>
  <c r="G44" i="3"/>
  <c r="N44" i="3" s="1"/>
  <c r="O44" i="3" s="1"/>
  <c r="F44" i="3"/>
  <c r="G43" i="3"/>
  <c r="N43" i="3" s="1"/>
  <c r="F43" i="3"/>
  <c r="G42" i="3"/>
  <c r="N42" i="3" s="1"/>
  <c r="F42" i="3"/>
  <c r="G41" i="3"/>
  <c r="N41" i="3" s="1"/>
  <c r="O41" i="3" s="1"/>
  <c r="F41" i="3"/>
  <c r="G40" i="3"/>
  <c r="N40" i="3" s="1"/>
  <c r="F40" i="3"/>
  <c r="G39" i="3"/>
  <c r="N39" i="3" s="1"/>
  <c r="O39" i="3" s="1"/>
  <c r="F39" i="3"/>
  <c r="G38" i="3"/>
  <c r="N38" i="3" s="1"/>
  <c r="O38" i="3" s="1"/>
  <c r="F38" i="3"/>
  <c r="G37" i="3"/>
  <c r="N37" i="3" s="1"/>
  <c r="F37" i="3"/>
  <c r="G36" i="3"/>
  <c r="N36" i="3" s="1"/>
  <c r="F36" i="3"/>
  <c r="G35" i="3"/>
  <c r="N35" i="3" s="1"/>
  <c r="O35" i="3" s="1"/>
  <c r="F35" i="3"/>
  <c r="G34" i="3"/>
  <c r="N34" i="3" s="1"/>
  <c r="F34" i="3"/>
  <c r="G33" i="3"/>
  <c r="N33" i="3" s="1"/>
  <c r="O33" i="3" s="1"/>
  <c r="F33" i="3"/>
  <c r="G32" i="3"/>
  <c r="N32" i="3" s="1"/>
  <c r="O32" i="3" s="1"/>
  <c r="F32" i="3"/>
  <c r="G31" i="3"/>
  <c r="N31" i="3" s="1"/>
  <c r="F31" i="3"/>
  <c r="G30" i="3"/>
  <c r="N30" i="3" s="1"/>
  <c r="F30" i="3"/>
  <c r="G29" i="3"/>
  <c r="N29" i="3" s="1"/>
  <c r="O29" i="3" s="1"/>
  <c r="F29" i="3"/>
  <c r="G28" i="3"/>
  <c r="N28" i="3" s="1"/>
  <c r="F28" i="3"/>
  <c r="G27" i="3"/>
  <c r="N27" i="3" s="1"/>
  <c r="O27" i="3" s="1"/>
  <c r="F27" i="3"/>
  <c r="G26" i="3"/>
  <c r="N26" i="3" s="1"/>
  <c r="O26" i="3" s="1"/>
  <c r="F26" i="3"/>
  <c r="T25" i="3"/>
  <c r="S25" i="3"/>
  <c r="G25" i="3"/>
  <c r="N25" i="3" s="1"/>
  <c r="F25" i="3"/>
  <c r="T24" i="3"/>
  <c r="S24" i="3"/>
  <c r="G24" i="3"/>
  <c r="N24" i="3" s="1"/>
  <c r="F24" i="3"/>
  <c r="T23" i="3"/>
  <c r="S23" i="3"/>
  <c r="N23" i="3"/>
  <c r="O23" i="3" s="1"/>
  <c r="G23" i="3"/>
  <c r="F23" i="3"/>
  <c r="T22" i="3"/>
  <c r="S22" i="3"/>
  <c r="G22" i="3"/>
  <c r="N22" i="3" s="1"/>
  <c r="F22" i="3"/>
  <c r="T21" i="3"/>
  <c r="S21" i="3"/>
  <c r="G21" i="3"/>
  <c r="N21" i="3" s="1"/>
  <c r="F21" i="3"/>
  <c r="T20" i="3"/>
  <c r="S20" i="3"/>
  <c r="G20" i="3"/>
  <c r="N20" i="3" s="1"/>
  <c r="O20" i="3" s="1"/>
  <c r="F20" i="3"/>
  <c r="T19" i="3"/>
  <c r="S19" i="3"/>
  <c r="G19" i="3"/>
  <c r="N19" i="3" s="1"/>
  <c r="F19" i="3"/>
  <c r="T18" i="3"/>
  <c r="S18" i="3"/>
  <c r="G18" i="3"/>
  <c r="N18" i="3" s="1"/>
  <c r="F18" i="3"/>
  <c r="T17" i="3"/>
  <c r="S17" i="3"/>
  <c r="G17" i="3"/>
  <c r="N17" i="3" s="1"/>
  <c r="O17" i="3" s="1"/>
  <c r="F17" i="3"/>
  <c r="T16" i="3"/>
  <c r="S16" i="3"/>
  <c r="G16" i="3"/>
  <c r="N16" i="3" s="1"/>
  <c r="F16" i="3"/>
  <c r="T15" i="3"/>
  <c r="S15" i="3"/>
  <c r="G15" i="3"/>
  <c r="N15" i="3" s="1"/>
  <c r="F15" i="3"/>
  <c r="T14" i="3"/>
  <c r="S14" i="3"/>
  <c r="G14" i="3"/>
  <c r="N14" i="3" s="1"/>
  <c r="O14" i="3" s="1"/>
  <c r="F14" i="3"/>
  <c r="T13" i="3"/>
  <c r="S13" i="3"/>
  <c r="G13" i="3"/>
  <c r="N13" i="3" s="1"/>
  <c r="F13" i="3"/>
  <c r="T12" i="3"/>
  <c r="S12" i="3"/>
  <c r="G12" i="3"/>
  <c r="N12" i="3" s="1"/>
  <c r="F12" i="3"/>
  <c r="T11" i="3"/>
  <c r="S11" i="3"/>
  <c r="G11" i="3"/>
  <c r="N11" i="3" s="1"/>
  <c r="O11" i="3" s="1"/>
  <c r="F11" i="3"/>
  <c r="T10" i="3"/>
  <c r="S10" i="3"/>
  <c r="G10" i="3"/>
  <c r="N10" i="3" s="1"/>
  <c r="F10" i="3"/>
  <c r="T9" i="3"/>
  <c r="S9" i="3"/>
  <c r="G9" i="3"/>
  <c r="N9" i="3" s="1"/>
  <c r="F9" i="3"/>
  <c r="T8" i="3"/>
  <c r="S8" i="3"/>
  <c r="G8" i="3"/>
  <c r="N8" i="3" s="1"/>
  <c r="O8" i="3" s="1"/>
  <c r="F8" i="3"/>
  <c r="T7" i="3"/>
  <c r="S7" i="3"/>
  <c r="N7" i="3"/>
  <c r="G7" i="3"/>
  <c r="F7" i="3"/>
  <c r="T6" i="3"/>
  <c r="S6" i="3"/>
  <c r="G6" i="3"/>
  <c r="N6" i="3" s="1"/>
  <c r="F6" i="3"/>
  <c r="T5" i="3"/>
  <c r="S5" i="3"/>
  <c r="G5" i="3"/>
  <c r="N5" i="3" s="1"/>
  <c r="O5" i="3" s="1"/>
  <c r="F5" i="3"/>
  <c r="T4" i="3"/>
  <c r="S4" i="3"/>
  <c r="G4" i="3"/>
  <c r="N4" i="3" s="1"/>
  <c r="F4" i="3"/>
  <c r="T3" i="3"/>
  <c r="S3" i="3"/>
  <c r="G3" i="3"/>
  <c r="N3" i="3" s="1"/>
  <c r="F3" i="3"/>
  <c r="T2" i="3"/>
  <c r="S2" i="3"/>
  <c r="G2" i="3"/>
  <c r="N2" i="3" s="1"/>
  <c r="O2" i="3" s="1"/>
  <c r="F2" i="3"/>
  <c r="S75" i="2"/>
  <c r="R75" i="2"/>
  <c r="N73" i="2"/>
  <c r="G73" i="2"/>
  <c r="F73" i="2"/>
  <c r="N72" i="2"/>
  <c r="G72" i="2"/>
  <c r="F72" i="2"/>
  <c r="O71" i="2"/>
  <c r="O72" i="2" s="1"/>
  <c r="O73" i="2" s="1"/>
  <c r="R25" i="2" s="1"/>
  <c r="N71" i="2"/>
  <c r="G71" i="2"/>
  <c r="F71" i="2"/>
  <c r="O70" i="2"/>
  <c r="N70" i="2"/>
  <c r="G70" i="2"/>
  <c r="F70" i="2"/>
  <c r="O69" i="2"/>
  <c r="N69" i="2"/>
  <c r="G69" i="2"/>
  <c r="F69" i="2"/>
  <c r="O68" i="2"/>
  <c r="N68" i="2"/>
  <c r="G68" i="2"/>
  <c r="F68" i="2"/>
  <c r="N67" i="2"/>
  <c r="G67" i="2"/>
  <c r="F67" i="2"/>
  <c r="N66" i="2"/>
  <c r="G66" i="2"/>
  <c r="F66" i="2"/>
  <c r="N65" i="2"/>
  <c r="O65" i="2" s="1"/>
  <c r="O66" i="2" s="1"/>
  <c r="O67" i="2" s="1"/>
  <c r="R23" i="2" s="1"/>
  <c r="G65" i="2"/>
  <c r="F65" i="2"/>
  <c r="N64" i="2"/>
  <c r="G64" i="2"/>
  <c r="F64" i="2"/>
  <c r="N63" i="2"/>
  <c r="O63" i="2" s="1"/>
  <c r="G63" i="2"/>
  <c r="F63" i="2"/>
  <c r="N62" i="2"/>
  <c r="O62" i="2" s="1"/>
  <c r="G62" i="2"/>
  <c r="F62" i="2"/>
  <c r="N61" i="2"/>
  <c r="G61" i="2"/>
  <c r="F61" i="2"/>
  <c r="N60" i="2"/>
  <c r="G60" i="2"/>
  <c r="F60" i="2"/>
  <c r="G59" i="2"/>
  <c r="N59" i="2" s="1"/>
  <c r="O59" i="2" s="1"/>
  <c r="F59" i="2"/>
  <c r="G58" i="2"/>
  <c r="N58" i="2" s="1"/>
  <c r="F58" i="2"/>
  <c r="G57" i="2"/>
  <c r="N57" i="2" s="1"/>
  <c r="F57" i="2"/>
  <c r="G56" i="2"/>
  <c r="N56" i="2" s="1"/>
  <c r="O56" i="2" s="1"/>
  <c r="F56" i="2"/>
  <c r="G55" i="2"/>
  <c r="N55" i="2" s="1"/>
  <c r="O55" i="2" s="1"/>
  <c r="R19" i="2" s="1"/>
  <c r="F55" i="2"/>
  <c r="G54" i="2"/>
  <c r="N54" i="2" s="1"/>
  <c r="O54" i="2" s="1"/>
  <c r="F54" i="2"/>
  <c r="G53" i="2"/>
  <c r="N53" i="2" s="1"/>
  <c r="O53" i="2" s="1"/>
  <c r="F53" i="2"/>
  <c r="G52" i="2"/>
  <c r="N52" i="2" s="1"/>
  <c r="F52" i="2"/>
  <c r="G51" i="2"/>
  <c r="N51" i="2" s="1"/>
  <c r="F51" i="2"/>
  <c r="G50" i="2"/>
  <c r="N50" i="2" s="1"/>
  <c r="O50" i="2" s="1"/>
  <c r="F50" i="2"/>
  <c r="G49" i="2"/>
  <c r="N49" i="2" s="1"/>
  <c r="F49" i="2"/>
  <c r="G48" i="2"/>
  <c r="N48" i="2" s="1"/>
  <c r="F48" i="2"/>
  <c r="G47" i="2"/>
  <c r="N47" i="2" s="1"/>
  <c r="O47" i="2" s="1"/>
  <c r="F47" i="2"/>
  <c r="G46" i="2"/>
  <c r="N46" i="2" s="1"/>
  <c r="F46" i="2"/>
  <c r="G45" i="2"/>
  <c r="N45" i="2" s="1"/>
  <c r="F45" i="2"/>
  <c r="G44" i="2"/>
  <c r="N44" i="2" s="1"/>
  <c r="O44" i="2" s="1"/>
  <c r="F44" i="2"/>
  <c r="G43" i="2"/>
  <c r="N43" i="2" s="1"/>
  <c r="F43" i="2"/>
  <c r="G42" i="2"/>
  <c r="N42" i="2" s="1"/>
  <c r="F42" i="2"/>
  <c r="G41" i="2"/>
  <c r="N41" i="2" s="1"/>
  <c r="O41" i="2" s="1"/>
  <c r="F41" i="2"/>
  <c r="G40" i="2"/>
  <c r="N40" i="2" s="1"/>
  <c r="F40" i="2"/>
  <c r="G39" i="2"/>
  <c r="N39" i="2" s="1"/>
  <c r="F39" i="2"/>
  <c r="G38" i="2"/>
  <c r="N38" i="2" s="1"/>
  <c r="O38" i="2" s="1"/>
  <c r="F38" i="2"/>
  <c r="G37" i="2"/>
  <c r="N37" i="2" s="1"/>
  <c r="F37" i="2"/>
  <c r="G36" i="2"/>
  <c r="N36" i="2" s="1"/>
  <c r="F36" i="2"/>
  <c r="G35" i="2"/>
  <c r="N35" i="2" s="1"/>
  <c r="O35" i="2" s="1"/>
  <c r="F35" i="2"/>
  <c r="G34" i="2"/>
  <c r="N34" i="2" s="1"/>
  <c r="F34" i="2"/>
  <c r="G33" i="2"/>
  <c r="N33" i="2" s="1"/>
  <c r="F33" i="2"/>
  <c r="G32" i="2"/>
  <c r="N32" i="2" s="1"/>
  <c r="O32" i="2" s="1"/>
  <c r="F32" i="2"/>
  <c r="G31" i="2"/>
  <c r="N31" i="2" s="1"/>
  <c r="F31" i="2"/>
  <c r="G30" i="2"/>
  <c r="N30" i="2" s="1"/>
  <c r="O30" i="2" s="1"/>
  <c r="F30" i="2"/>
  <c r="G29" i="2"/>
  <c r="N29" i="2" s="1"/>
  <c r="O29" i="2" s="1"/>
  <c r="F29" i="2"/>
  <c r="G28" i="2"/>
  <c r="N28" i="2" s="1"/>
  <c r="F28" i="2"/>
  <c r="G27" i="2"/>
  <c r="N27" i="2" s="1"/>
  <c r="F27" i="2"/>
  <c r="G26" i="2"/>
  <c r="N26" i="2" s="1"/>
  <c r="O26" i="2" s="1"/>
  <c r="F26" i="2"/>
  <c r="T25" i="2"/>
  <c r="S25" i="2"/>
  <c r="G25" i="2"/>
  <c r="N25" i="2" s="1"/>
  <c r="O25" i="2" s="1"/>
  <c r="R9" i="2" s="1"/>
  <c r="F25" i="2"/>
  <c r="T24" i="2"/>
  <c r="S24" i="2"/>
  <c r="R24" i="2"/>
  <c r="N24" i="2"/>
  <c r="O24" i="2" s="1"/>
  <c r="G24" i="2"/>
  <c r="F24" i="2"/>
  <c r="T23" i="2"/>
  <c r="S23" i="2"/>
  <c r="G23" i="2"/>
  <c r="N23" i="2" s="1"/>
  <c r="O23" i="2" s="1"/>
  <c r="F23" i="2"/>
  <c r="T22" i="2"/>
  <c r="S22" i="2"/>
  <c r="G22" i="2"/>
  <c r="N22" i="2" s="1"/>
  <c r="F22" i="2"/>
  <c r="T21" i="2"/>
  <c r="S21" i="2"/>
  <c r="G21" i="2"/>
  <c r="N21" i="2" s="1"/>
  <c r="F21" i="2"/>
  <c r="T20" i="2"/>
  <c r="S20" i="2"/>
  <c r="N20" i="2"/>
  <c r="O20" i="2" s="1"/>
  <c r="G20" i="2"/>
  <c r="F20" i="2"/>
  <c r="T19" i="2"/>
  <c r="S19" i="2"/>
  <c r="G19" i="2"/>
  <c r="N19" i="2" s="1"/>
  <c r="F19" i="2"/>
  <c r="T18" i="2"/>
  <c r="S18" i="2"/>
  <c r="G18" i="2"/>
  <c r="N18" i="2" s="1"/>
  <c r="F18" i="2"/>
  <c r="T17" i="2"/>
  <c r="S17" i="2"/>
  <c r="G17" i="2"/>
  <c r="N17" i="2" s="1"/>
  <c r="O17" i="2" s="1"/>
  <c r="F17" i="2"/>
  <c r="T16" i="2"/>
  <c r="S16" i="2"/>
  <c r="N16" i="2"/>
  <c r="G16" i="2"/>
  <c r="F16" i="2"/>
  <c r="T15" i="2"/>
  <c r="S15" i="2"/>
  <c r="G15" i="2"/>
  <c r="N15" i="2" s="1"/>
  <c r="F15" i="2"/>
  <c r="T14" i="2"/>
  <c r="S14" i="2"/>
  <c r="G14" i="2"/>
  <c r="N14" i="2" s="1"/>
  <c r="O14" i="2" s="1"/>
  <c r="F14" i="2"/>
  <c r="T13" i="2"/>
  <c r="S13" i="2"/>
  <c r="G13" i="2"/>
  <c r="N13" i="2" s="1"/>
  <c r="O13" i="2" s="1"/>
  <c r="R5" i="2" s="1"/>
  <c r="F13" i="2"/>
  <c r="T12" i="2"/>
  <c r="S12" i="2"/>
  <c r="N12" i="2"/>
  <c r="O12" i="2" s="1"/>
  <c r="G12" i="2"/>
  <c r="F12" i="2"/>
  <c r="T11" i="2"/>
  <c r="S11" i="2"/>
  <c r="G11" i="2"/>
  <c r="N11" i="2" s="1"/>
  <c r="O11" i="2" s="1"/>
  <c r="F11" i="2"/>
  <c r="T10" i="2"/>
  <c r="S10" i="2"/>
  <c r="G10" i="2"/>
  <c r="N10" i="2" s="1"/>
  <c r="F10" i="2"/>
  <c r="T9" i="2"/>
  <c r="S9" i="2"/>
  <c r="G9" i="2"/>
  <c r="N9" i="2" s="1"/>
  <c r="F9" i="2"/>
  <c r="T8" i="2"/>
  <c r="S8" i="2"/>
  <c r="N8" i="2"/>
  <c r="O8" i="2" s="1"/>
  <c r="G8" i="2"/>
  <c r="F8" i="2"/>
  <c r="T7" i="2"/>
  <c r="S7" i="2"/>
  <c r="G7" i="2"/>
  <c r="N7" i="2" s="1"/>
  <c r="F7" i="2"/>
  <c r="T6" i="2"/>
  <c r="S6" i="2"/>
  <c r="G6" i="2"/>
  <c r="N6" i="2" s="1"/>
  <c r="F6" i="2"/>
  <c r="T5" i="2"/>
  <c r="S5" i="2"/>
  <c r="G5" i="2"/>
  <c r="N5" i="2" s="1"/>
  <c r="O5" i="2" s="1"/>
  <c r="F5" i="2"/>
  <c r="T4" i="2"/>
  <c r="S4" i="2"/>
  <c r="N4" i="2"/>
  <c r="G4" i="2"/>
  <c r="F4" i="2"/>
  <c r="T3" i="2"/>
  <c r="S3" i="2"/>
  <c r="G3" i="2"/>
  <c r="N3" i="2" s="1"/>
  <c r="F3" i="2"/>
  <c r="T2" i="2"/>
  <c r="S2" i="2"/>
  <c r="G2" i="2"/>
  <c r="N2" i="2" s="1"/>
  <c r="O2" i="2" s="1"/>
  <c r="F2" i="2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C8" i="1"/>
  <c r="B8" i="1"/>
  <c r="O8" i="11" l="1"/>
  <c r="O9" i="11" s="1"/>
  <c r="O10" i="11" s="1"/>
  <c r="O11" i="11" s="1"/>
  <c r="R3" i="11" s="1"/>
  <c r="O38" i="11"/>
  <c r="O18" i="11"/>
  <c r="O19" i="11" s="1"/>
  <c r="O20" i="11" s="1"/>
  <c r="O21" i="11" s="1"/>
  <c r="R5" i="11" s="1"/>
  <c r="O23" i="11"/>
  <c r="O24" i="11" s="1"/>
  <c r="O25" i="11" s="1"/>
  <c r="O26" i="11" s="1"/>
  <c r="R6" i="11" s="1"/>
  <c r="O34" i="11"/>
  <c r="O35" i="11" s="1"/>
  <c r="O36" i="11" s="1"/>
  <c r="R8" i="11" s="1"/>
  <c r="O13" i="11"/>
  <c r="O14" i="11" s="1"/>
  <c r="O15" i="11" s="1"/>
  <c r="O16" i="11" s="1"/>
  <c r="R4" i="11" s="1"/>
  <c r="O28" i="11"/>
  <c r="O29" i="11" s="1"/>
  <c r="O30" i="11" s="1"/>
  <c r="O31" i="11" s="1"/>
  <c r="R7" i="11" s="1"/>
  <c r="O39" i="11"/>
  <c r="O40" i="11" s="1"/>
  <c r="O41" i="11" s="1"/>
  <c r="R9" i="11" s="1"/>
  <c r="O43" i="11"/>
  <c r="O44" i="11" s="1"/>
  <c r="O45" i="11" s="1"/>
  <c r="O46" i="11" s="1"/>
  <c r="R10" i="11" s="1"/>
  <c r="O49" i="11"/>
  <c r="O50" i="11" s="1"/>
  <c r="O51" i="11" s="1"/>
  <c r="R11" i="11" s="1"/>
  <c r="O53" i="11"/>
  <c r="O54" i="11" s="1"/>
  <c r="O55" i="11" s="1"/>
  <c r="O56" i="11" s="1"/>
  <c r="R12" i="11" s="1"/>
  <c r="O59" i="11"/>
  <c r="O60" i="11" s="1"/>
  <c r="O61" i="11" s="1"/>
  <c r="R13" i="11" s="1"/>
  <c r="O63" i="11"/>
  <c r="O64" i="11" s="1"/>
  <c r="O65" i="11" s="1"/>
  <c r="O66" i="11" s="1"/>
  <c r="R14" i="11" s="1"/>
  <c r="O3" i="9"/>
  <c r="O7" i="9"/>
  <c r="O8" i="9" s="1"/>
  <c r="O9" i="9" s="1"/>
  <c r="R3" i="9" s="1"/>
  <c r="O15" i="9"/>
  <c r="O16" i="9" s="1"/>
  <c r="O17" i="9" s="1"/>
  <c r="R5" i="9" s="1"/>
  <c r="O27" i="9"/>
  <c r="O31" i="9"/>
  <c r="O23" i="9"/>
  <c r="O24" i="9" s="1"/>
  <c r="O25" i="9" s="1"/>
  <c r="R7" i="9" s="1"/>
  <c r="O28" i="9"/>
  <c r="O29" i="9" s="1"/>
  <c r="R8" i="9" s="1"/>
  <c r="O35" i="9"/>
  <c r="O36" i="9" s="1"/>
  <c r="O37" i="9" s="1"/>
  <c r="R10" i="9" s="1"/>
  <c r="O4" i="9"/>
  <c r="O5" i="9" s="1"/>
  <c r="R2" i="9" s="1"/>
  <c r="O32" i="9"/>
  <c r="O33" i="9" s="1"/>
  <c r="R9" i="9" s="1"/>
  <c r="O39" i="9"/>
  <c r="O40" i="9" s="1"/>
  <c r="O41" i="9" s="1"/>
  <c r="R11" i="9" s="1"/>
  <c r="O7" i="7"/>
  <c r="O8" i="7" s="1"/>
  <c r="O9" i="7" s="1"/>
  <c r="R3" i="7" s="1"/>
  <c r="O27" i="7"/>
  <c r="O28" i="7" s="1"/>
  <c r="O29" i="7" s="1"/>
  <c r="R8" i="7" s="1"/>
  <c r="O31" i="7"/>
  <c r="O32" i="7" s="1"/>
  <c r="O33" i="7" s="1"/>
  <c r="R9" i="7" s="1"/>
  <c r="O39" i="7"/>
  <c r="O40" i="7" s="1"/>
  <c r="O41" i="7" s="1"/>
  <c r="R11" i="7" s="1"/>
  <c r="O43" i="7"/>
  <c r="O44" i="7" s="1"/>
  <c r="O45" i="7" s="1"/>
  <c r="R12" i="7" s="1"/>
  <c r="O47" i="7"/>
  <c r="O48" i="7" s="1"/>
  <c r="O49" i="7" s="1"/>
  <c r="R13" i="7" s="1"/>
  <c r="O51" i="7"/>
  <c r="O52" i="7" s="1"/>
  <c r="O53" i="7" s="1"/>
  <c r="R14" i="7" s="1"/>
  <c r="O55" i="7"/>
  <c r="O56" i="7" s="1"/>
  <c r="O57" i="7" s="1"/>
  <c r="R15" i="7" s="1"/>
  <c r="O59" i="7"/>
  <c r="O60" i="7" s="1"/>
  <c r="O61" i="7" s="1"/>
  <c r="R16" i="7" s="1"/>
  <c r="O63" i="7"/>
  <c r="O64" i="7" s="1"/>
  <c r="O65" i="7" s="1"/>
  <c r="R17" i="7" s="1"/>
  <c r="O15" i="3"/>
  <c r="O16" i="3"/>
  <c r="R6" i="3" s="1"/>
  <c r="O12" i="3"/>
  <c r="O24" i="3"/>
  <c r="O25" i="3" s="1"/>
  <c r="R9" i="3" s="1"/>
  <c r="O18" i="3"/>
  <c r="O19" i="3" s="1"/>
  <c r="R7" i="3" s="1"/>
  <c r="O13" i="3"/>
  <c r="R5" i="3" s="1"/>
  <c r="O28" i="3"/>
  <c r="R10" i="3" s="1"/>
  <c r="O30" i="3"/>
  <c r="O31" i="3" s="1"/>
  <c r="R11" i="3" s="1"/>
  <c r="O34" i="3"/>
  <c r="R12" i="3" s="1"/>
  <c r="O36" i="3"/>
  <c r="O37" i="3" s="1"/>
  <c r="R13" i="3" s="1"/>
  <c r="O40" i="3"/>
  <c r="R14" i="3" s="1"/>
  <c r="O42" i="3"/>
  <c r="O43" i="3" s="1"/>
  <c r="R15" i="3" s="1"/>
  <c r="O46" i="3"/>
  <c r="R16" i="3" s="1"/>
  <c r="O52" i="3"/>
  <c r="R18" i="3" s="1"/>
  <c r="O54" i="3"/>
  <c r="O55" i="3" s="1"/>
  <c r="R19" i="3" s="1"/>
  <c r="O58" i="3"/>
  <c r="R20" i="3" s="1"/>
  <c r="O60" i="3"/>
  <c r="O61" i="3" s="1"/>
  <c r="R21" i="3" s="1"/>
  <c r="O64" i="3"/>
  <c r="R22" i="3" s="1"/>
  <c r="O66" i="3"/>
  <c r="O67" i="3" s="1"/>
  <c r="R23" i="3" s="1"/>
  <c r="O70" i="3"/>
  <c r="R24" i="3" s="1"/>
  <c r="O72" i="3"/>
  <c r="O73" i="3" s="1"/>
  <c r="R25" i="3" s="1"/>
  <c r="O9" i="3"/>
  <c r="O21" i="3"/>
  <c r="O22" i="3" s="1"/>
  <c r="R8" i="3" s="1"/>
  <c r="O15" i="5"/>
  <c r="O16" i="5" s="1"/>
  <c r="R6" i="5" s="1"/>
  <c r="O24" i="5"/>
  <c r="O25" i="5" s="1"/>
  <c r="R9" i="5" s="1"/>
  <c r="O3" i="5"/>
  <c r="O4" i="5" s="1"/>
  <c r="R2" i="5" s="1"/>
  <c r="O22" i="5"/>
  <c r="R8" i="5" s="1"/>
  <c r="O31" i="6"/>
  <c r="O32" i="6" s="1"/>
  <c r="O33" i="6" s="1"/>
  <c r="R9" i="6" s="1"/>
  <c r="O15" i="7"/>
  <c r="O15" i="6"/>
  <c r="O16" i="6" s="1"/>
  <c r="O17" i="6" s="1"/>
  <c r="R5" i="6" s="1"/>
  <c r="O11" i="7"/>
  <c r="O3" i="6"/>
  <c r="O4" i="6"/>
  <c r="O5" i="6"/>
  <c r="R2" i="6" s="1"/>
  <c r="O36" i="2"/>
  <c r="O37" i="2" s="1"/>
  <c r="R13" i="2" s="1"/>
  <c r="O45" i="2"/>
  <c r="O42" i="2"/>
  <c r="O43" i="2" s="1"/>
  <c r="R15" i="2" s="1"/>
  <c r="O46" i="2"/>
  <c r="R16" i="2" s="1"/>
  <c r="O6" i="2"/>
  <c r="O21" i="2"/>
  <c r="O27" i="2"/>
  <c r="O31" i="2"/>
  <c r="R11" i="2" s="1"/>
  <c r="O51" i="2"/>
  <c r="O30" i="4"/>
  <c r="O31" i="4" s="1"/>
  <c r="R11" i="4" s="1"/>
  <c r="O7" i="2"/>
  <c r="R3" i="2" s="1"/>
  <c r="O22" i="2"/>
  <c r="R8" i="2" s="1"/>
  <c r="O33" i="2"/>
  <c r="O39" i="2"/>
  <c r="O57" i="2"/>
  <c r="O6" i="3"/>
  <c r="O10" i="3"/>
  <c r="R4" i="3" s="1"/>
  <c r="O9" i="2"/>
  <c r="O10" i="2"/>
  <c r="R4" i="2" s="1"/>
  <c r="O12" i="4"/>
  <c r="O13" i="4" s="1"/>
  <c r="R5" i="4" s="1"/>
  <c r="O24" i="4"/>
  <c r="O25" i="4" s="1"/>
  <c r="R9" i="4" s="1"/>
  <c r="O40" i="4"/>
  <c r="R14" i="4" s="1"/>
  <c r="O34" i="2"/>
  <c r="R12" i="2" s="1"/>
  <c r="O48" i="2"/>
  <c r="O49" i="2" s="1"/>
  <c r="R17" i="2" s="1"/>
  <c r="O52" i="2"/>
  <c r="R18" i="2" s="1"/>
  <c r="O61" i="2"/>
  <c r="R21" i="2" s="1"/>
  <c r="O3" i="4"/>
  <c r="O4" i="4"/>
  <c r="R2" i="4" s="1"/>
  <c r="O33" i="4"/>
  <c r="O34" i="4" s="1"/>
  <c r="R12" i="4" s="1"/>
  <c r="O15" i="2"/>
  <c r="O16" i="2" s="1"/>
  <c r="R6" i="2" s="1"/>
  <c r="O28" i="2"/>
  <c r="R10" i="2" s="1"/>
  <c r="O40" i="2"/>
  <c r="R14" i="2" s="1"/>
  <c r="O58" i="2"/>
  <c r="R20" i="2" s="1"/>
  <c r="O7" i="3"/>
  <c r="R3" i="3" s="1"/>
  <c r="O3" i="2"/>
  <c r="O4" i="2" s="1"/>
  <c r="R2" i="2" s="1"/>
  <c r="O18" i="2"/>
  <c r="O19" i="2"/>
  <c r="R7" i="2" s="1"/>
  <c r="O60" i="2"/>
  <c r="O64" i="2"/>
  <c r="R22" i="2" s="1"/>
  <c r="O3" i="3"/>
  <c r="O4" i="3" s="1"/>
  <c r="R2" i="3" s="1"/>
  <c r="O37" i="4"/>
  <c r="R13" i="4" s="1"/>
  <c r="O43" i="4"/>
  <c r="R15" i="4" s="1"/>
  <c r="O45" i="4"/>
  <c r="O46" i="4" s="1"/>
  <c r="R16" i="4" s="1"/>
  <c r="O7" i="4"/>
  <c r="R3" i="4" s="1"/>
  <c r="O73" i="4"/>
  <c r="R25" i="4" s="1"/>
  <c r="O51" i="4"/>
  <c r="O52" i="4" s="1"/>
  <c r="R18" i="4" s="1"/>
  <c r="O67" i="4"/>
  <c r="R23" i="4" s="1"/>
  <c r="O69" i="4"/>
  <c r="O70" i="4" s="1"/>
  <c r="R24" i="4" s="1"/>
  <c r="O24" i="6"/>
  <c r="O25" i="6" s="1"/>
  <c r="R7" i="6" s="1"/>
  <c r="O41" i="6"/>
  <c r="R11" i="6" s="1"/>
  <c r="O65" i="6"/>
  <c r="R17" i="6" s="1"/>
  <c r="O79" i="6"/>
  <c r="O87" i="6"/>
  <c r="O88" i="6" s="1"/>
  <c r="O89" i="6" s="1"/>
  <c r="R23" i="6" s="1"/>
  <c r="O95" i="6"/>
  <c r="O96" i="6" s="1"/>
  <c r="O97" i="6" s="1"/>
  <c r="R25" i="6" s="1"/>
  <c r="O19" i="6"/>
  <c r="O20" i="6" s="1"/>
  <c r="O21" i="6" s="1"/>
  <c r="R6" i="6" s="1"/>
  <c r="O28" i="6"/>
  <c r="O29" i="6" s="1"/>
  <c r="R8" i="6" s="1"/>
  <c r="O40" i="6"/>
  <c r="O44" i="6"/>
  <c r="O45" i="6" s="1"/>
  <c r="R12" i="6" s="1"/>
  <c r="O52" i="6"/>
  <c r="O53" i="6" s="1"/>
  <c r="R14" i="6" s="1"/>
  <c r="O56" i="6"/>
  <c r="O57" i="6" s="1"/>
  <c r="R15" i="6" s="1"/>
  <c r="O64" i="6"/>
  <c r="O68" i="6"/>
  <c r="O69" i="6" s="1"/>
  <c r="R18" i="6" s="1"/>
  <c r="O80" i="6"/>
  <c r="O81" i="6" s="1"/>
  <c r="R21" i="6" s="1"/>
  <c r="O12" i="7"/>
  <c r="O11" i="8"/>
  <c r="O28" i="8"/>
  <c r="O36" i="8"/>
  <c r="O44" i="8"/>
  <c r="O48" i="8"/>
  <c r="O56" i="8"/>
  <c r="O20" i="7"/>
  <c r="O21" i="7" s="1"/>
  <c r="R6" i="7" s="1"/>
  <c r="O12" i="8"/>
  <c r="O13" i="8" s="1"/>
  <c r="R4" i="8" s="1"/>
  <c r="O15" i="8"/>
  <c r="O16" i="8" s="1"/>
  <c r="O17" i="8" s="1"/>
  <c r="R5" i="8" s="1"/>
  <c r="O13" i="7"/>
  <c r="R4" i="7" s="1"/>
  <c r="O3" i="8"/>
  <c r="O19" i="8"/>
  <c r="O20" i="8" s="1"/>
  <c r="O21" i="8" s="1"/>
  <c r="R6" i="8" s="1"/>
  <c r="O29" i="8"/>
  <c r="R8" i="8" s="1"/>
  <c r="O37" i="8"/>
  <c r="R10" i="8" s="1"/>
  <c r="O45" i="8"/>
  <c r="R12" i="8" s="1"/>
  <c r="O49" i="8"/>
  <c r="R13" i="8" s="1"/>
  <c r="O57" i="8"/>
  <c r="R15" i="8" s="1"/>
  <c r="O16" i="7"/>
  <c r="O17" i="7" s="1"/>
  <c r="R5" i="7" s="1"/>
  <c r="O4" i="8"/>
  <c r="O5" i="8"/>
  <c r="R2" i="8" s="1"/>
  <c r="O7" i="8"/>
  <c r="O8" i="8" s="1"/>
  <c r="O9" i="8" s="1"/>
  <c r="R3" i="8" s="1"/>
  <c r="O10" i="10"/>
  <c r="O11" i="10" s="1"/>
  <c r="R3" i="10" s="1"/>
  <c r="O19" i="10"/>
  <c r="O20" i="10" s="1"/>
  <c r="O21" i="10" s="1"/>
  <c r="R5" i="10" s="1"/>
  <c r="O38" i="10"/>
  <c r="O39" i="10" s="1"/>
  <c r="O40" i="10" s="1"/>
  <c r="O41" i="10" s="1"/>
  <c r="R9" i="10" s="1"/>
  <c r="O44" i="10"/>
  <c r="O48" i="10"/>
  <c r="O8" i="10"/>
  <c r="O9" i="10" s="1"/>
  <c r="O15" i="10"/>
  <c r="O16" i="10"/>
  <c r="R4" i="10" s="1"/>
  <c r="O29" i="10"/>
  <c r="O30" i="10" s="1"/>
  <c r="O31" i="10" s="1"/>
  <c r="R7" i="10" s="1"/>
  <c r="O33" i="10"/>
  <c r="O34" i="10" s="1"/>
  <c r="O35" i="10" s="1"/>
  <c r="O36" i="10" s="1"/>
  <c r="R8" i="10" s="1"/>
  <c r="O45" i="10"/>
  <c r="O46" i="10" s="1"/>
  <c r="R10" i="10" s="1"/>
  <c r="O49" i="10"/>
  <c r="O50" i="10" s="1"/>
  <c r="O51" i="10" s="1"/>
  <c r="R11" i="10" s="1"/>
  <c r="O14" i="10"/>
  <c r="O54" i="10"/>
  <c r="O55" i="10" s="1"/>
  <c r="O56" i="10" s="1"/>
  <c r="R12" i="10" s="1"/>
  <c r="O58" i="10"/>
  <c r="O59" i="10" s="1"/>
  <c r="O60" i="10" s="1"/>
  <c r="O61" i="10" s="1"/>
  <c r="R13" i="10" s="1"/>
  <c r="E142" i="11" l="1"/>
  <c r="E133" i="11"/>
  <c r="E147" i="11"/>
  <c r="E131" i="11"/>
  <c r="E135" i="11"/>
  <c r="E124" i="11"/>
  <c r="E134" i="11"/>
  <c r="E141" i="11"/>
  <c r="E125" i="11"/>
  <c r="E126" i="11"/>
  <c r="E128" i="11"/>
  <c r="E140" i="11"/>
  <c r="E137" i="11"/>
  <c r="E127" i="11"/>
  <c r="E136" i="11"/>
  <c r="C136" i="11" s="1"/>
  <c r="E130" i="11"/>
  <c r="E146" i="11"/>
  <c r="G146" i="11" s="1"/>
  <c r="E129" i="11"/>
  <c r="E145" i="11"/>
  <c r="G145" i="11" s="1"/>
  <c r="E132" i="11"/>
  <c r="E143" i="11"/>
  <c r="C143" i="11" s="1"/>
  <c r="E139" i="11"/>
  <c r="E138" i="11"/>
  <c r="E144" i="11"/>
  <c r="E119" i="9"/>
  <c r="E123" i="9"/>
  <c r="E110" i="9"/>
  <c r="E116" i="9"/>
  <c r="E111" i="9"/>
  <c r="E101" i="9"/>
  <c r="E105" i="9"/>
  <c r="E122" i="9"/>
  <c r="E112" i="9"/>
  <c r="E115" i="9"/>
  <c r="E117" i="9"/>
  <c r="E109" i="9"/>
  <c r="E106" i="9"/>
  <c r="E118" i="9"/>
  <c r="E102" i="9"/>
  <c r="F102" i="9" s="1"/>
  <c r="E46" i="1" s="1"/>
  <c r="E108" i="9"/>
  <c r="E107" i="9"/>
  <c r="F107" i="9" s="1"/>
  <c r="E103" i="9"/>
  <c r="E100" i="9"/>
  <c r="G44" i="1" s="1"/>
  <c r="E114" i="9"/>
  <c r="E120" i="9"/>
  <c r="E104" i="9"/>
  <c r="E113" i="9"/>
  <c r="E121" i="9"/>
  <c r="E96" i="5"/>
  <c r="E80" i="5"/>
  <c r="E89" i="5"/>
  <c r="E95" i="5"/>
  <c r="C95" i="5" s="1"/>
  <c r="E86" i="5"/>
  <c r="E92" i="5"/>
  <c r="E76" i="5"/>
  <c r="E85" i="5"/>
  <c r="G85" i="5" s="1"/>
  <c r="E87" i="5"/>
  <c r="G87" i="5" s="1"/>
  <c r="E78" i="5"/>
  <c r="C78" i="5" s="1"/>
  <c r="E98" i="5"/>
  <c r="E93" i="5"/>
  <c r="F93" i="5" s="1"/>
  <c r="E94" i="5"/>
  <c r="E91" i="5"/>
  <c r="C91" i="5" s="1"/>
  <c r="E83" i="5"/>
  <c r="E88" i="5"/>
  <c r="G88" i="5" s="1"/>
  <c r="E97" i="5"/>
  <c r="E81" i="5"/>
  <c r="C81" i="5" s="1"/>
  <c r="E79" i="5"/>
  <c r="E99" i="5"/>
  <c r="C99" i="5" s="1"/>
  <c r="E90" i="5"/>
  <c r="E84" i="5"/>
  <c r="F84" i="5" s="1"/>
  <c r="E77" i="5"/>
  <c r="E82" i="5"/>
  <c r="F82" i="5" s="1"/>
  <c r="E114" i="6"/>
  <c r="E98" i="2"/>
  <c r="E94" i="2"/>
  <c r="E90" i="2"/>
  <c r="E86" i="2"/>
  <c r="E82" i="2"/>
  <c r="E78" i="2"/>
  <c r="E97" i="2"/>
  <c r="E93" i="2"/>
  <c r="E89" i="2"/>
  <c r="E85" i="2"/>
  <c r="E81" i="2"/>
  <c r="E77" i="2"/>
  <c r="E96" i="2"/>
  <c r="E92" i="2"/>
  <c r="E88" i="2"/>
  <c r="E84" i="2"/>
  <c r="E80" i="2"/>
  <c r="E76" i="2"/>
  <c r="E99" i="2"/>
  <c r="E95" i="2"/>
  <c r="E91" i="2"/>
  <c r="E87" i="2"/>
  <c r="E83" i="2"/>
  <c r="E79" i="2"/>
  <c r="E145" i="10"/>
  <c r="E129" i="10"/>
  <c r="E126" i="10"/>
  <c r="E140" i="10"/>
  <c r="E144" i="10"/>
  <c r="E138" i="10"/>
  <c r="E141" i="10"/>
  <c r="E142" i="10"/>
  <c r="E124" i="10"/>
  <c r="E130" i="10"/>
  <c r="E134" i="10"/>
  <c r="E135" i="10"/>
  <c r="E137" i="10"/>
  <c r="E139" i="10"/>
  <c r="E146" i="10"/>
  <c r="E127" i="10"/>
  <c r="E131" i="10"/>
  <c r="E132" i="10"/>
  <c r="E133" i="10"/>
  <c r="E136" i="10"/>
  <c r="E143" i="10"/>
  <c r="E147" i="10"/>
  <c r="E128" i="10"/>
  <c r="E125" i="10"/>
  <c r="E123" i="7"/>
  <c r="F132" i="11"/>
  <c r="G132" i="11"/>
  <c r="C132" i="11"/>
  <c r="F140" i="11"/>
  <c r="G140" i="11"/>
  <c r="C140" i="11"/>
  <c r="G126" i="11"/>
  <c r="F126" i="11"/>
  <c r="E52" i="1" s="1"/>
  <c r="C126" i="11"/>
  <c r="G52" i="1"/>
  <c r="G127" i="11"/>
  <c r="C127" i="11"/>
  <c r="F127" i="11"/>
  <c r="G136" i="11"/>
  <c r="F130" i="11"/>
  <c r="C130" i="11"/>
  <c r="G130" i="11"/>
  <c r="F129" i="11"/>
  <c r="G129" i="11"/>
  <c r="C129" i="11"/>
  <c r="G100" i="9"/>
  <c r="F103" i="9"/>
  <c r="C103" i="9"/>
  <c r="G103" i="9"/>
  <c r="G107" i="9"/>
  <c r="G108" i="9"/>
  <c r="C108" i="9"/>
  <c r="F108" i="9"/>
  <c r="C102" i="9"/>
  <c r="G46" i="1"/>
  <c r="G118" i="9"/>
  <c r="C118" i="9"/>
  <c r="F118" i="9"/>
  <c r="E100" i="7"/>
  <c r="E116" i="7"/>
  <c r="E109" i="7"/>
  <c r="E102" i="7"/>
  <c r="E118" i="7"/>
  <c r="E111" i="7"/>
  <c r="E111" i="6"/>
  <c r="E100" i="6"/>
  <c r="E116" i="6"/>
  <c r="E109" i="6"/>
  <c r="E102" i="6"/>
  <c r="E118" i="6"/>
  <c r="G98" i="5"/>
  <c r="C98" i="5"/>
  <c r="F98" i="5"/>
  <c r="G78" i="5"/>
  <c r="F87" i="5"/>
  <c r="C87" i="5"/>
  <c r="F76" i="5"/>
  <c r="E32" i="1" s="1"/>
  <c r="G76" i="5"/>
  <c r="C76" i="5"/>
  <c r="G32" i="1"/>
  <c r="F92" i="5"/>
  <c r="G92" i="5"/>
  <c r="C92" i="5"/>
  <c r="E98" i="4"/>
  <c r="E94" i="4"/>
  <c r="E90" i="4"/>
  <c r="E86" i="4"/>
  <c r="E82" i="4"/>
  <c r="E78" i="4"/>
  <c r="E99" i="4"/>
  <c r="E96" i="4"/>
  <c r="E93" i="4"/>
  <c r="E83" i="4"/>
  <c r="E80" i="4"/>
  <c r="E77" i="4"/>
  <c r="E97" i="4"/>
  <c r="E87" i="4"/>
  <c r="E84" i="4"/>
  <c r="E81" i="4"/>
  <c r="E95" i="4"/>
  <c r="E92" i="4"/>
  <c r="E89" i="4"/>
  <c r="E79" i="4"/>
  <c r="E76" i="4"/>
  <c r="E88" i="4"/>
  <c r="E85" i="4"/>
  <c r="E91" i="4"/>
  <c r="G143" i="11"/>
  <c r="F128" i="11"/>
  <c r="G128" i="11"/>
  <c r="C128" i="11"/>
  <c r="G142" i="11"/>
  <c r="F142" i="11"/>
  <c r="C142" i="11"/>
  <c r="F124" i="11"/>
  <c r="E50" i="1" s="1"/>
  <c r="G124" i="11"/>
  <c r="C124" i="11"/>
  <c r="G50" i="1"/>
  <c r="G135" i="11"/>
  <c r="C135" i="11"/>
  <c r="F135" i="11"/>
  <c r="G131" i="11"/>
  <c r="C131" i="11"/>
  <c r="F131" i="11"/>
  <c r="G134" i="11"/>
  <c r="F134" i="11"/>
  <c r="C134" i="11"/>
  <c r="G147" i="11"/>
  <c r="C147" i="11"/>
  <c r="F147" i="11"/>
  <c r="F133" i="11"/>
  <c r="C133" i="11"/>
  <c r="G133" i="11"/>
  <c r="F109" i="9"/>
  <c r="G109" i="9"/>
  <c r="C109" i="9"/>
  <c r="F117" i="9"/>
  <c r="G117" i="9"/>
  <c r="C117" i="9"/>
  <c r="F115" i="9"/>
  <c r="G115" i="9"/>
  <c r="C115" i="9"/>
  <c r="G112" i="9"/>
  <c r="C112" i="9"/>
  <c r="F112" i="9"/>
  <c r="F106" i="9"/>
  <c r="G106" i="9"/>
  <c r="G122" i="9"/>
  <c r="C122" i="9"/>
  <c r="F122" i="9"/>
  <c r="E104" i="7"/>
  <c r="E120" i="7"/>
  <c r="E113" i="7"/>
  <c r="E106" i="7"/>
  <c r="E122" i="7"/>
  <c r="E115" i="7"/>
  <c r="E115" i="6"/>
  <c r="E104" i="6"/>
  <c r="E120" i="6"/>
  <c r="E113" i="6"/>
  <c r="E106" i="6"/>
  <c r="E122" i="6"/>
  <c r="F83" i="5"/>
  <c r="G83" i="5"/>
  <c r="C83" i="5"/>
  <c r="G86" i="5"/>
  <c r="C86" i="5"/>
  <c r="F86" i="5"/>
  <c r="G95" i="5"/>
  <c r="C89" i="5"/>
  <c r="G89" i="5"/>
  <c r="F89" i="5"/>
  <c r="F80" i="5"/>
  <c r="C80" i="5"/>
  <c r="G80" i="5"/>
  <c r="F96" i="5"/>
  <c r="C96" i="5"/>
  <c r="G96" i="5"/>
  <c r="F138" i="11"/>
  <c r="C138" i="11"/>
  <c r="G138" i="11"/>
  <c r="F144" i="11"/>
  <c r="G144" i="11"/>
  <c r="C144" i="11"/>
  <c r="F137" i="11"/>
  <c r="G137" i="11"/>
  <c r="C137" i="11"/>
  <c r="F105" i="9"/>
  <c r="G105" i="9"/>
  <c r="C105" i="9"/>
  <c r="C106" i="9" s="1"/>
  <c r="F101" i="9"/>
  <c r="E45" i="1" s="1"/>
  <c r="C101" i="9"/>
  <c r="G101" i="9"/>
  <c r="G45" i="1"/>
  <c r="F111" i="9"/>
  <c r="G111" i="9"/>
  <c r="C111" i="9"/>
  <c r="G116" i="9"/>
  <c r="C116" i="9"/>
  <c r="F116" i="9"/>
  <c r="G110" i="9"/>
  <c r="C110" i="9"/>
  <c r="F110" i="9"/>
  <c r="F123" i="9"/>
  <c r="C123" i="9"/>
  <c r="G123" i="9"/>
  <c r="E108" i="7"/>
  <c r="E101" i="7"/>
  <c r="E117" i="7"/>
  <c r="E110" i="7"/>
  <c r="E103" i="7"/>
  <c r="E119" i="7"/>
  <c r="E103" i="6"/>
  <c r="E119" i="6"/>
  <c r="E108" i="6"/>
  <c r="E101" i="6"/>
  <c r="E117" i="6"/>
  <c r="E110" i="6"/>
  <c r="C82" i="5"/>
  <c r="G91" i="5"/>
  <c r="G94" i="5"/>
  <c r="C94" i="5"/>
  <c r="F94" i="5"/>
  <c r="G77" i="5"/>
  <c r="F77" i="5"/>
  <c r="E33" i="1" s="1"/>
  <c r="C77" i="5"/>
  <c r="G33" i="1"/>
  <c r="G93" i="5"/>
  <c r="C84" i="5"/>
  <c r="G139" i="11"/>
  <c r="C139" i="11"/>
  <c r="F139" i="11"/>
  <c r="F125" i="11"/>
  <c r="E51" i="1" s="1"/>
  <c r="C125" i="11"/>
  <c r="G125" i="11"/>
  <c r="G51" i="1"/>
  <c r="F141" i="11"/>
  <c r="C141" i="11"/>
  <c r="G141" i="11"/>
  <c r="E120" i="8"/>
  <c r="E116" i="8"/>
  <c r="E112" i="8"/>
  <c r="E108" i="8"/>
  <c r="E104" i="8"/>
  <c r="E122" i="8"/>
  <c r="E119" i="8"/>
  <c r="E109" i="8"/>
  <c r="E106" i="8"/>
  <c r="E103" i="8"/>
  <c r="E123" i="8"/>
  <c r="E113" i="8"/>
  <c r="E110" i="8"/>
  <c r="E107" i="8"/>
  <c r="E100" i="8"/>
  <c r="E117" i="8"/>
  <c r="E114" i="8"/>
  <c r="E111" i="8"/>
  <c r="E101" i="8"/>
  <c r="E121" i="8"/>
  <c r="E118" i="8"/>
  <c r="E115" i="8"/>
  <c r="E105" i="8"/>
  <c r="E102" i="8"/>
  <c r="F121" i="9"/>
  <c r="C121" i="9"/>
  <c r="G121" i="9"/>
  <c r="F113" i="9"/>
  <c r="C113" i="9"/>
  <c r="G113" i="9"/>
  <c r="G104" i="9"/>
  <c r="C104" i="9"/>
  <c r="F104" i="9"/>
  <c r="F119" i="9"/>
  <c r="C119" i="9"/>
  <c r="G119" i="9"/>
  <c r="G120" i="9"/>
  <c r="C120" i="9"/>
  <c r="F120" i="9"/>
  <c r="G114" i="9"/>
  <c r="C114" i="9"/>
  <c r="F114" i="9"/>
  <c r="E112" i="7"/>
  <c r="E105" i="7"/>
  <c r="E121" i="7"/>
  <c r="E114" i="7"/>
  <c r="E107" i="7"/>
  <c r="E107" i="6"/>
  <c r="E123" i="6"/>
  <c r="E112" i="6"/>
  <c r="E105" i="6"/>
  <c r="E121" i="6"/>
  <c r="G90" i="5"/>
  <c r="C90" i="5"/>
  <c r="F90" i="5"/>
  <c r="G99" i="5"/>
  <c r="F79" i="5"/>
  <c r="G79" i="5"/>
  <c r="C79" i="5"/>
  <c r="F81" i="5"/>
  <c r="C97" i="5"/>
  <c r="G97" i="5"/>
  <c r="F97" i="5"/>
  <c r="C88" i="5"/>
  <c r="E96" i="3"/>
  <c r="E92" i="3"/>
  <c r="E88" i="3"/>
  <c r="E98" i="3"/>
  <c r="E95" i="3"/>
  <c r="E85" i="3"/>
  <c r="E84" i="3"/>
  <c r="E80" i="3"/>
  <c r="E76" i="3"/>
  <c r="E99" i="3"/>
  <c r="E89" i="3"/>
  <c r="E86" i="3"/>
  <c r="E83" i="3"/>
  <c r="E79" i="3"/>
  <c r="E93" i="3"/>
  <c r="E90" i="3"/>
  <c r="E87" i="3"/>
  <c r="E82" i="3"/>
  <c r="E78" i="3"/>
  <c r="E97" i="3"/>
  <c r="E94" i="3"/>
  <c r="E91" i="3"/>
  <c r="E81" i="3"/>
  <c r="E77" i="3"/>
  <c r="F143" i="11" l="1"/>
  <c r="C145" i="11"/>
  <c r="C146" i="11"/>
  <c r="F145" i="11"/>
  <c r="F146" i="11"/>
  <c r="F136" i="11"/>
  <c r="F100" i="9"/>
  <c r="E44" i="1" s="1"/>
  <c r="G102" i="9"/>
  <c r="F46" i="1" s="1"/>
  <c r="C107" i="9"/>
  <c r="C100" i="9"/>
  <c r="D44" i="1" s="1"/>
  <c r="G81" i="5"/>
  <c r="G84" i="5"/>
  <c r="F91" i="5"/>
  <c r="G34" i="1"/>
  <c r="F78" i="5"/>
  <c r="E34" i="1" s="1"/>
  <c r="F88" i="5"/>
  <c r="F99" i="5"/>
  <c r="G82" i="5"/>
  <c r="F95" i="5"/>
  <c r="C85" i="5"/>
  <c r="C93" i="5"/>
  <c r="F85" i="5"/>
  <c r="G77" i="3"/>
  <c r="C77" i="3"/>
  <c r="F77" i="3"/>
  <c r="E27" i="1" s="1"/>
  <c r="G27" i="1"/>
  <c r="G80" i="3"/>
  <c r="C80" i="3"/>
  <c r="F80" i="3"/>
  <c r="R88" i="5"/>
  <c r="S88" i="5"/>
  <c r="T88" i="5"/>
  <c r="I99" i="5"/>
  <c r="G81" i="3"/>
  <c r="C81" i="3"/>
  <c r="F81" i="3"/>
  <c r="C88" i="3"/>
  <c r="G88" i="3"/>
  <c r="F88" i="3"/>
  <c r="G123" i="6"/>
  <c r="C123" i="6"/>
  <c r="F123" i="6"/>
  <c r="I113" i="9"/>
  <c r="G106" i="8"/>
  <c r="C106" i="8"/>
  <c r="F106" i="8"/>
  <c r="G104" i="8"/>
  <c r="F104" i="8"/>
  <c r="C104" i="8"/>
  <c r="G120" i="8"/>
  <c r="F120" i="8"/>
  <c r="C120" i="8"/>
  <c r="R84" i="5"/>
  <c r="S84" i="5"/>
  <c r="T84" i="5"/>
  <c r="R93" i="5"/>
  <c r="T93" i="5"/>
  <c r="S93" i="5"/>
  <c r="R77" i="5"/>
  <c r="T77" i="5"/>
  <c r="S77" i="5"/>
  <c r="F33" i="1"/>
  <c r="I91" i="5"/>
  <c r="I82" i="5"/>
  <c r="F101" i="6"/>
  <c r="E36" i="1" s="1"/>
  <c r="G101" i="6"/>
  <c r="C101" i="6"/>
  <c r="G36" i="1"/>
  <c r="G119" i="7"/>
  <c r="C119" i="7"/>
  <c r="F119" i="7"/>
  <c r="G101" i="7"/>
  <c r="C101" i="7"/>
  <c r="F101" i="7"/>
  <c r="E39" i="1" s="1"/>
  <c r="G39" i="1"/>
  <c r="S111" i="9"/>
  <c r="R111" i="9"/>
  <c r="T111" i="9"/>
  <c r="D45" i="1"/>
  <c r="I144" i="11"/>
  <c r="I138" i="11"/>
  <c r="S95" i="5"/>
  <c r="T95" i="5"/>
  <c r="R95" i="5"/>
  <c r="T86" i="5"/>
  <c r="S86" i="5"/>
  <c r="R86" i="5"/>
  <c r="G122" i="6"/>
  <c r="C122" i="6"/>
  <c r="F122" i="6"/>
  <c r="G104" i="6"/>
  <c r="C104" i="6"/>
  <c r="F104" i="6"/>
  <c r="F106" i="7"/>
  <c r="G106" i="7"/>
  <c r="C106" i="7"/>
  <c r="I106" i="9"/>
  <c r="T112" i="9"/>
  <c r="R112" i="9"/>
  <c r="S112" i="9"/>
  <c r="I117" i="9"/>
  <c r="S109" i="9"/>
  <c r="T109" i="9"/>
  <c r="R109" i="9"/>
  <c r="I134" i="11"/>
  <c r="I131" i="11"/>
  <c r="T135" i="11"/>
  <c r="R135" i="11"/>
  <c r="S135" i="11"/>
  <c r="I128" i="11"/>
  <c r="I143" i="11"/>
  <c r="G88" i="4"/>
  <c r="C88" i="4"/>
  <c r="F88" i="4"/>
  <c r="G92" i="4"/>
  <c r="C92" i="4"/>
  <c r="F92" i="4"/>
  <c r="F87" i="4"/>
  <c r="G87" i="4"/>
  <c r="C87" i="4"/>
  <c r="C83" i="4"/>
  <c r="F83" i="4"/>
  <c r="G83" i="4"/>
  <c r="G78" i="4"/>
  <c r="F78" i="4"/>
  <c r="E31" i="1" s="1"/>
  <c r="C78" i="4"/>
  <c r="G31" i="1"/>
  <c r="G94" i="4"/>
  <c r="F94" i="4"/>
  <c r="C94" i="4"/>
  <c r="I87" i="5"/>
  <c r="I98" i="5"/>
  <c r="F109" i="6"/>
  <c r="G109" i="6"/>
  <c r="C109" i="6"/>
  <c r="G111" i="7"/>
  <c r="C111" i="7"/>
  <c r="F111" i="7"/>
  <c r="G116" i="7"/>
  <c r="C116" i="7"/>
  <c r="F116" i="7"/>
  <c r="R118" i="9"/>
  <c r="T118" i="9"/>
  <c r="S118" i="9"/>
  <c r="T102" i="9"/>
  <c r="I107" i="9"/>
  <c r="I103" i="9"/>
  <c r="I100" i="9"/>
  <c r="H44" i="1" s="1"/>
  <c r="I130" i="11"/>
  <c r="I140" i="11"/>
  <c r="S132" i="11"/>
  <c r="T132" i="11"/>
  <c r="R132" i="11"/>
  <c r="F128" i="10"/>
  <c r="C128" i="10"/>
  <c r="G128" i="10"/>
  <c r="F133" i="10"/>
  <c r="C133" i="10"/>
  <c r="G133" i="10"/>
  <c r="F146" i="10"/>
  <c r="C146" i="10"/>
  <c r="G146" i="10"/>
  <c r="G134" i="10"/>
  <c r="F134" i="10"/>
  <c r="C134" i="10"/>
  <c r="C141" i="10"/>
  <c r="G141" i="10"/>
  <c r="F141" i="10"/>
  <c r="C126" i="10"/>
  <c r="G126" i="10"/>
  <c r="F126" i="10"/>
  <c r="E49" i="1" s="1"/>
  <c r="G49" i="1"/>
  <c r="G83" i="2"/>
  <c r="C83" i="2"/>
  <c r="F83" i="2"/>
  <c r="G99" i="2"/>
  <c r="C99" i="2"/>
  <c r="F99" i="2"/>
  <c r="G88" i="2"/>
  <c r="C88" i="2"/>
  <c r="F88" i="2"/>
  <c r="F81" i="2"/>
  <c r="G81" i="2"/>
  <c r="C81" i="2"/>
  <c r="F97" i="2"/>
  <c r="G97" i="2"/>
  <c r="C97" i="2"/>
  <c r="G90" i="2"/>
  <c r="C90" i="2"/>
  <c r="F90" i="2"/>
  <c r="C97" i="3"/>
  <c r="G97" i="3"/>
  <c r="F97" i="3"/>
  <c r="G98" i="3"/>
  <c r="C98" i="3"/>
  <c r="F98" i="3"/>
  <c r="R97" i="5"/>
  <c r="T97" i="5"/>
  <c r="S97" i="5"/>
  <c r="I81" i="5"/>
  <c r="I90" i="5"/>
  <c r="I120" i="9"/>
  <c r="I121" i="9"/>
  <c r="G93" i="3"/>
  <c r="F93" i="3"/>
  <c r="C93" i="3"/>
  <c r="G84" i="3"/>
  <c r="C84" i="3"/>
  <c r="F84" i="3"/>
  <c r="I97" i="5"/>
  <c r="I79" i="5"/>
  <c r="S99" i="5"/>
  <c r="T99" i="5"/>
  <c r="R99" i="5"/>
  <c r="T90" i="5"/>
  <c r="S90" i="5"/>
  <c r="R90" i="5"/>
  <c r="T120" i="9"/>
  <c r="R120" i="9"/>
  <c r="S120" i="9"/>
  <c r="G114" i="8"/>
  <c r="C114" i="8"/>
  <c r="F114" i="8"/>
  <c r="G110" i="8"/>
  <c r="C110" i="8"/>
  <c r="F110" i="8"/>
  <c r="F91" i="3"/>
  <c r="C91" i="3"/>
  <c r="G91" i="3"/>
  <c r="G82" i="3"/>
  <c r="C82" i="3"/>
  <c r="F82" i="3"/>
  <c r="F79" i="3"/>
  <c r="G79" i="3"/>
  <c r="C79" i="3"/>
  <c r="F99" i="3"/>
  <c r="G99" i="3"/>
  <c r="C99" i="3"/>
  <c r="C85" i="3"/>
  <c r="G85" i="3"/>
  <c r="F85" i="3"/>
  <c r="F92" i="3"/>
  <c r="C92" i="3"/>
  <c r="G92" i="3"/>
  <c r="S79" i="5"/>
  <c r="T79" i="5"/>
  <c r="R79" i="5"/>
  <c r="F121" i="6"/>
  <c r="G121" i="6"/>
  <c r="C121" i="6"/>
  <c r="G107" i="6"/>
  <c r="C107" i="6"/>
  <c r="F107" i="6"/>
  <c r="G105" i="7"/>
  <c r="C105" i="7"/>
  <c r="F105" i="7"/>
  <c r="R114" i="9"/>
  <c r="T114" i="9"/>
  <c r="S114" i="9"/>
  <c r="S119" i="9"/>
  <c r="R119" i="9"/>
  <c r="T119" i="9"/>
  <c r="I104" i="9"/>
  <c r="G102" i="8"/>
  <c r="C102" i="8"/>
  <c r="F102" i="8"/>
  <c r="E43" i="1" s="1"/>
  <c r="G43" i="1"/>
  <c r="C121" i="8"/>
  <c r="G121" i="8"/>
  <c r="F121" i="8"/>
  <c r="G117" i="8"/>
  <c r="F117" i="8"/>
  <c r="C117" i="8"/>
  <c r="F113" i="8"/>
  <c r="C113" i="8"/>
  <c r="G113" i="8"/>
  <c r="C109" i="8"/>
  <c r="G109" i="8"/>
  <c r="F109" i="8"/>
  <c r="C108" i="8"/>
  <c r="G108" i="8"/>
  <c r="F108" i="8"/>
  <c r="R141" i="11"/>
  <c r="S141" i="11"/>
  <c r="T141" i="11"/>
  <c r="R125" i="11"/>
  <c r="S125" i="11"/>
  <c r="T125" i="11"/>
  <c r="F51" i="1"/>
  <c r="I139" i="11"/>
  <c r="S91" i="5"/>
  <c r="T91" i="5"/>
  <c r="R91" i="5"/>
  <c r="T82" i="5"/>
  <c r="S82" i="5"/>
  <c r="R82" i="5"/>
  <c r="G108" i="6"/>
  <c r="C108" i="6"/>
  <c r="F108" i="6"/>
  <c r="G103" i="7"/>
  <c r="C103" i="7"/>
  <c r="F103" i="7"/>
  <c r="G108" i="7"/>
  <c r="C108" i="7"/>
  <c r="F108" i="7"/>
  <c r="I116" i="9"/>
  <c r="I137" i="11"/>
  <c r="S144" i="11"/>
  <c r="R144" i="11"/>
  <c r="T144" i="11"/>
  <c r="R80" i="5"/>
  <c r="S80" i="5"/>
  <c r="T80" i="5"/>
  <c r="R89" i="5"/>
  <c r="T89" i="5"/>
  <c r="S89" i="5"/>
  <c r="I83" i="5"/>
  <c r="G106" i="6"/>
  <c r="C106" i="6"/>
  <c r="F106" i="6"/>
  <c r="G115" i="6"/>
  <c r="C115" i="6"/>
  <c r="F115" i="6"/>
  <c r="G113" i="7"/>
  <c r="C113" i="7"/>
  <c r="F113" i="7"/>
  <c r="I122" i="9"/>
  <c r="I115" i="9"/>
  <c r="S117" i="9"/>
  <c r="T117" i="9"/>
  <c r="R117" i="9"/>
  <c r="T131" i="11"/>
  <c r="S131" i="11"/>
  <c r="R131" i="11"/>
  <c r="I142" i="11"/>
  <c r="S128" i="11"/>
  <c r="T128" i="11"/>
  <c r="R128" i="11"/>
  <c r="T143" i="11"/>
  <c r="R143" i="11"/>
  <c r="S143" i="11"/>
  <c r="G76" i="4"/>
  <c r="C76" i="4"/>
  <c r="F76" i="4"/>
  <c r="E29" i="1" s="1"/>
  <c r="G29" i="1"/>
  <c r="C95" i="4"/>
  <c r="G95" i="4"/>
  <c r="F95" i="4"/>
  <c r="F97" i="4"/>
  <c r="G97" i="4"/>
  <c r="C97" i="4"/>
  <c r="F93" i="4"/>
  <c r="G93" i="4"/>
  <c r="C93" i="4"/>
  <c r="C82" i="4"/>
  <c r="G82" i="4"/>
  <c r="F82" i="4"/>
  <c r="C98" i="4"/>
  <c r="G98" i="4"/>
  <c r="F98" i="4"/>
  <c r="I85" i="5"/>
  <c r="S87" i="5"/>
  <c r="T87" i="5"/>
  <c r="R87" i="5"/>
  <c r="I78" i="5"/>
  <c r="H34" i="1" s="1"/>
  <c r="D34" i="1"/>
  <c r="T98" i="5"/>
  <c r="S98" i="5"/>
  <c r="R98" i="5"/>
  <c r="G116" i="6"/>
  <c r="C116" i="6"/>
  <c r="F116" i="6"/>
  <c r="F118" i="7"/>
  <c r="G118" i="7"/>
  <c r="C118" i="7"/>
  <c r="G100" i="7"/>
  <c r="C100" i="7"/>
  <c r="F100" i="7"/>
  <c r="E38" i="1" s="1"/>
  <c r="G38" i="1"/>
  <c r="S107" i="9"/>
  <c r="R107" i="9"/>
  <c r="T107" i="9"/>
  <c r="T100" i="9"/>
  <c r="D100" i="9" s="1"/>
  <c r="R100" i="9"/>
  <c r="S100" i="9"/>
  <c r="F44" i="1"/>
  <c r="I129" i="11"/>
  <c r="I146" i="11"/>
  <c r="I126" i="11"/>
  <c r="H52" i="1" s="1"/>
  <c r="D52" i="1"/>
  <c r="S140" i="11"/>
  <c r="T140" i="11"/>
  <c r="R140" i="11"/>
  <c r="G147" i="10"/>
  <c r="C147" i="10"/>
  <c r="F147" i="10"/>
  <c r="F132" i="10"/>
  <c r="C132" i="10"/>
  <c r="G132" i="10"/>
  <c r="G139" i="10"/>
  <c r="C139" i="10"/>
  <c r="F139" i="10"/>
  <c r="F130" i="10"/>
  <c r="C130" i="10"/>
  <c r="G130" i="10"/>
  <c r="C138" i="10"/>
  <c r="G138" i="10"/>
  <c r="F138" i="10"/>
  <c r="C129" i="10"/>
  <c r="G129" i="10"/>
  <c r="F129" i="10"/>
  <c r="G87" i="2"/>
  <c r="C87" i="2"/>
  <c r="F87" i="2"/>
  <c r="G76" i="2"/>
  <c r="C76" i="2"/>
  <c r="F76" i="2"/>
  <c r="E23" i="1" s="1"/>
  <c r="G23" i="1"/>
  <c r="G92" i="2"/>
  <c r="C92" i="2"/>
  <c r="F92" i="2"/>
  <c r="F85" i="2"/>
  <c r="G85" i="2"/>
  <c r="C85" i="2"/>
  <c r="G25" i="1"/>
  <c r="G78" i="2"/>
  <c r="C78" i="2"/>
  <c r="F78" i="2"/>
  <c r="E25" i="1" s="1"/>
  <c r="G94" i="2"/>
  <c r="C94" i="2"/>
  <c r="F94" i="2"/>
  <c r="G90" i="3"/>
  <c r="C90" i="3"/>
  <c r="F90" i="3"/>
  <c r="G112" i="6"/>
  <c r="C112" i="6"/>
  <c r="F112" i="6"/>
  <c r="S113" i="9"/>
  <c r="T113" i="9"/>
  <c r="R113" i="9"/>
  <c r="G78" i="3"/>
  <c r="C78" i="3"/>
  <c r="G28" i="1"/>
  <c r="F78" i="3"/>
  <c r="E28" i="1" s="1"/>
  <c r="F89" i="3"/>
  <c r="C89" i="3"/>
  <c r="G89" i="3"/>
  <c r="I88" i="5"/>
  <c r="G121" i="7"/>
  <c r="C121" i="7"/>
  <c r="F121" i="7"/>
  <c r="I114" i="9"/>
  <c r="G118" i="8"/>
  <c r="C118" i="8"/>
  <c r="F118" i="8"/>
  <c r="G94" i="3"/>
  <c r="C94" i="3"/>
  <c r="F94" i="3"/>
  <c r="F87" i="3"/>
  <c r="C87" i="3"/>
  <c r="G87" i="3"/>
  <c r="F83" i="3"/>
  <c r="G83" i="3"/>
  <c r="C83" i="3"/>
  <c r="G76" i="3"/>
  <c r="C76" i="3"/>
  <c r="G26" i="1"/>
  <c r="F76" i="3"/>
  <c r="E26" i="1" s="1"/>
  <c r="F95" i="3"/>
  <c r="C95" i="3"/>
  <c r="G95" i="3"/>
  <c r="G96" i="3"/>
  <c r="F96" i="3"/>
  <c r="C96" i="3"/>
  <c r="R81" i="5"/>
  <c r="T81" i="5"/>
  <c r="S81" i="5"/>
  <c r="F105" i="6"/>
  <c r="G105" i="6"/>
  <c r="C105" i="6"/>
  <c r="G107" i="7"/>
  <c r="C107" i="7"/>
  <c r="F107" i="7"/>
  <c r="G112" i="7"/>
  <c r="C112" i="7"/>
  <c r="F112" i="7"/>
  <c r="I119" i="9"/>
  <c r="T104" i="9"/>
  <c r="S104" i="9"/>
  <c r="R104" i="9"/>
  <c r="S121" i="9"/>
  <c r="T121" i="9"/>
  <c r="R121" i="9"/>
  <c r="C105" i="8"/>
  <c r="G105" i="8"/>
  <c r="F105" i="8"/>
  <c r="G101" i="8"/>
  <c r="F101" i="8"/>
  <c r="E42" i="1" s="1"/>
  <c r="C101" i="8"/>
  <c r="G42" i="1"/>
  <c r="F100" i="8"/>
  <c r="E41" i="1" s="1"/>
  <c r="G100" i="8"/>
  <c r="C100" i="8"/>
  <c r="G41" i="1"/>
  <c r="F123" i="8"/>
  <c r="G123" i="8"/>
  <c r="C123" i="8"/>
  <c r="F119" i="8"/>
  <c r="C119" i="8"/>
  <c r="G119" i="8"/>
  <c r="C112" i="8"/>
  <c r="G112" i="8"/>
  <c r="F112" i="8"/>
  <c r="I141" i="11"/>
  <c r="I125" i="11"/>
  <c r="H51" i="1" s="1"/>
  <c r="D51" i="1"/>
  <c r="T139" i="11"/>
  <c r="S139" i="11"/>
  <c r="R139" i="11"/>
  <c r="I93" i="5"/>
  <c r="I77" i="5"/>
  <c r="H33" i="1" s="1"/>
  <c r="D33" i="1"/>
  <c r="I94" i="5"/>
  <c r="G110" i="6"/>
  <c r="C110" i="6"/>
  <c r="F110" i="6"/>
  <c r="G119" i="6"/>
  <c r="C119" i="6"/>
  <c r="F119" i="6"/>
  <c r="F110" i="7"/>
  <c r="G110" i="7"/>
  <c r="C110" i="7"/>
  <c r="S123" i="9"/>
  <c r="T123" i="9"/>
  <c r="R123" i="9"/>
  <c r="I110" i="9"/>
  <c r="T116" i="9"/>
  <c r="R116" i="9"/>
  <c r="S116" i="9"/>
  <c r="I105" i="9"/>
  <c r="R137" i="11"/>
  <c r="S137" i="11"/>
  <c r="T137" i="11"/>
  <c r="R96" i="5"/>
  <c r="S96" i="5"/>
  <c r="T96" i="5"/>
  <c r="I80" i="5"/>
  <c r="I89" i="5"/>
  <c r="S83" i="5"/>
  <c r="T83" i="5"/>
  <c r="R83" i="5"/>
  <c r="F113" i="6"/>
  <c r="G113" i="6"/>
  <c r="C113" i="6"/>
  <c r="G115" i="7"/>
  <c r="C115" i="7"/>
  <c r="F115" i="7"/>
  <c r="G120" i="7"/>
  <c r="C120" i="7"/>
  <c r="F120" i="7"/>
  <c r="T122" i="9"/>
  <c r="R122" i="9"/>
  <c r="S122" i="9"/>
  <c r="S115" i="9"/>
  <c r="R115" i="9"/>
  <c r="T115" i="9"/>
  <c r="S133" i="11"/>
  <c r="T133" i="11"/>
  <c r="I147" i="11"/>
  <c r="R134" i="11"/>
  <c r="S134" i="11"/>
  <c r="T134" i="11"/>
  <c r="I124" i="11"/>
  <c r="H50" i="1" s="1"/>
  <c r="D50" i="1"/>
  <c r="G91" i="4"/>
  <c r="F91" i="4"/>
  <c r="C91" i="4"/>
  <c r="C79" i="4"/>
  <c r="G79" i="4"/>
  <c r="F79" i="4"/>
  <c r="F81" i="4"/>
  <c r="G81" i="4"/>
  <c r="C81" i="4"/>
  <c r="F77" i="4"/>
  <c r="E30" i="1" s="1"/>
  <c r="G77" i="4"/>
  <c r="G30" i="1"/>
  <c r="C77" i="4"/>
  <c r="G96" i="4"/>
  <c r="C96" i="4"/>
  <c r="F96" i="4"/>
  <c r="C86" i="4"/>
  <c r="F86" i="4"/>
  <c r="G86" i="4"/>
  <c r="I92" i="5"/>
  <c r="I76" i="5"/>
  <c r="H32" i="1" s="1"/>
  <c r="D32" i="1"/>
  <c r="T78" i="5"/>
  <c r="S78" i="5"/>
  <c r="R78" i="5"/>
  <c r="F34" i="1"/>
  <c r="G118" i="6"/>
  <c r="C118" i="6"/>
  <c r="F118" i="6"/>
  <c r="G100" i="6"/>
  <c r="C100" i="6"/>
  <c r="F100" i="6"/>
  <c r="E35" i="1" s="1"/>
  <c r="G35" i="1"/>
  <c r="F102" i="7"/>
  <c r="E40" i="1" s="1"/>
  <c r="G102" i="7"/>
  <c r="C102" i="7"/>
  <c r="G40" i="1"/>
  <c r="I108" i="9"/>
  <c r="R145" i="11"/>
  <c r="S145" i="11"/>
  <c r="T145" i="11"/>
  <c r="R129" i="11"/>
  <c r="S129" i="11"/>
  <c r="T129" i="11"/>
  <c r="T146" i="11"/>
  <c r="R146" i="11"/>
  <c r="S146" i="11"/>
  <c r="I136" i="11"/>
  <c r="I127" i="11"/>
  <c r="G123" i="7"/>
  <c r="C123" i="7"/>
  <c r="F123" i="7"/>
  <c r="G143" i="10"/>
  <c r="C143" i="10"/>
  <c r="F143" i="10"/>
  <c r="G131" i="10"/>
  <c r="C131" i="10"/>
  <c r="F131" i="10"/>
  <c r="G137" i="10"/>
  <c r="F137" i="10"/>
  <c r="C137" i="10"/>
  <c r="G124" i="10"/>
  <c r="C124" i="10"/>
  <c r="F124" i="10"/>
  <c r="E47" i="1" s="1"/>
  <c r="G47" i="1"/>
  <c r="F144" i="10"/>
  <c r="C144" i="10"/>
  <c r="G144" i="10"/>
  <c r="C145" i="10"/>
  <c r="G145" i="10"/>
  <c r="F145" i="10"/>
  <c r="G91" i="2"/>
  <c r="C91" i="2"/>
  <c r="F91" i="2"/>
  <c r="G80" i="2"/>
  <c r="C80" i="2"/>
  <c r="F80" i="2"/>
  <c r="G96" i="2"/>
  <c r="C96" i="2"/>
  <c r="F96" i="2"/>
  <c r="F89" i="2"/>
  <c r="G89" i="2"/>
  <c r="C89" i="2"/>
  <c r="G82" i="2"/>
  <c r="C82" i="2"/>
  <c r="F82" i="2"/>
  <c r="G98" i="2"/>
  <c r="C98" i="2"/>
  <c r="F98" i="2"/>
  <c r="G86" i="3"/>
  <c r="C86" i="3"/>
  <c r="F86" i="3"/>
  <c r="F114" i="7"/>
  <c r="G114" i="7"/>
  <c r="C114" i="7"/>
  <c r="F115" i="8"/>
  <c r="C115" i="8"/>
  <c r="G115" i="8"/>
  <c r="F111" i="8"/>
  <c r="C111" i="8"/>
  <c r="G111" i="8"/>
  <c r="F107" i="8"/>
  <c r="G107" i="8"/>
  <c r="C107" i="8"/>
  <c r="F103" i="8"/>
  <c r="C103" i="8"/>
  <c r="G103" i="8"/>
  <c r="G122" i="8"/>
  <c r="C122" i="8"/>
  <c r="F122" i="8"/>
  <c r="F116" i="8"/>
  <c r="C116" i="8"/>
  <c r="G116" i="8"/>
  <c r="I84" i="5"/>
  <c r="T94" i="5"/>
  <c r="S94" i="5"/>
  <c r="R94" i="5"/>
  <c r="F117" i="6"/>
  <c r="G117" i="6"/>
  <c r="C117" i="6"/>
  <c r="G103" i="6"/>
  <c r="C103" i="6"/>
  <c r="F103" i="6"/>
  <c r="G117" i="7"/>
  <c r="C117" i="7"/>
  <c r="F117" i="7"/>
  <c r="I123" i="9"/>
  <c r="R110" i="9"/>
  <c r="T110" i="9"/>
  <c r="S110" i="9"/>
  <c r="I111" i="9"/>
  <c r="S101" i="9"/>
  <c r="T101" i="9"/>
  <c r="R101" i="9"/>
  <c r="F45" i="1"/>
  <c r="S105" i="9"/>
  <c r="R105" i="9"/>
  <c r="T105" i="9"/>
  <c r="R138" i="11"/>
  <c r="T138" i="11"/>
  <c r="S138" i="11"/>
  <c r="I96" i="5"/>
  <c r="I95" i="5"/>
  <c r="I86" i="5"/>
  <c r="G120" i="6"/>
  <c r="C120" i="6"/>
  <c r="F120" i="6"/>
  <c r="F122" i="7"/>
  <c r="G122" i="7"/>
  <c r="C122" i="7"/>
  <c r="G104" i="7"/>
  <c r="C104" i="7"/>
  <c r="F104" i="7"/>
  <c r="R106" i="9"/>
  <c r="T106" i="9"/>
  <c r="S106" i="9"/>
  <c r="I112" i="9"/>
  <c r="I109" i="9"/>
  <c r="I133" i="11"/>
  <c r="T147" i="11"/>
  <c r="S147" i="11"/>
  <c r="R147" i="11"/>
  <c r="I135" i="11"/>
  <c r="S124" i="11"/>
  <c r="T124" i="11"/>
  <c r="D124" i="11" s="1"/>
  <c r="R124" i="11"/>
  <c r="F50" i="1"/>
  <c r="R142" i="11"/>
  <c r="S142" i="11"/>
  <c r="T142" i="11"/>
  <c r="F85" i="4"/>
  <c r="C85" i="4"/>
  <c r="G85" i="4"/>
  <c r="F89" i="4"/>
  <c r="C89" i="4"/>
  <c r="G89" i="4"/>
  <c r="G84" i="4"/>
  <c r="C84" i="4"/>
  <c r="F84" i="4"/>
  <c r="G80" i="4"/>
  <c r="C80" i="4"/>
  <c r="F80" i="4"/>
  <c r="C99" i="4"/>
  <c r="F99" i="4"/>
  <c r="G99" i="4"/>
  <c r="F90" i="4"/>
  <c r="G90" i="4"/>
  <c r="C90" i="4"/>
  <c r="R92" i="5"/>
  <c r="S92" i="5"/>
  <c r="T92" i="5"/>
  <c r="R76" i="5"/>
  <c r="S76" i="5"/>
  <c r="T76" i="5"/>
  <c r="F32" i="1"/>
  <c r="R85" i="5"/>
  <c r="T85" i="5"/>
  <c r="S85" i="5"/>
  <c r="G102" i="6"/>
  <c r="C102" i="6"/>
  <c r="F102" i="6"/>
  <c r="E37" i="1" s="1"/>
  <c r="G37" i="1"/>
  <c r="G111" i="6"/>
  <c r="C111" i="6"/>
  <c r="F111" i="6"/>
  <c r="G109" i="7"/>
  <c r="C109" i="7"/>
  <c r="F109" i="7"/>
  <c r="I118" i="9"/>
  <c r="D102" i="9"/>
  <c r="R102" i="9" s="1"/>
  <c r="I102" i="9"/>
  <c r="H46" i="1" s="1"/>
  <c r="D46" i="1"/>
  <c r="T108" i="9"/>
  <c r="R108" i="9"/>
  <c r="S108" i="9"/>
  <c r="T103" i="9"/>
  <c r="D103" i="9" s="1"/>
  <c r="R103" i="9"/>
  <c r="S103" i="9"/>
  <c r="I145" i="11"/>
  <c r="R130" i="11"/>
  <c r="T130" i="11"/>
  <c r="S130" i="11"/>
  <c r="S136" i="11"/>
  <c r="T136" i="11"/>
  <c r="R136" i="11"/>
  <c r="T127" i="11"/>
  <c r="R127" i="11"/>
  <c r="S127" i="11"/>
  <c r="R126" i="11"/>
  <c r="S126" i="11"/>
  <c r="T126" i="11"/>
  <c r="F52" i="1"/>
  <c r="I132" i="11"/>
  <c r="G125" i="10"/>
  <c r="C125" i="10"/>
  <c r="F125" i="10"/>
  <c r="E48" i="1" s="1"/>
  <c r="G48" i="1"/>
  <c r="F136" i="10"/>
  <c r="C136" i="10"/>
  <c r="G136" i="10"/>
  <c r="G127" i="10"/>
  <c r="C127" i="10"/>
  <c r="F127" i="10"/>
  <c r="G135" i="10"/>
  <c r="C135" i="10"/>
  <c r="F135" i="10"/>
  <c r="C142" i="10"/>
  <c r="G142" i="10"/>
  <c r="F142" i="10"/>
  <c r="F140" i="10"/>
  <c r="G140" i="10"/>
  <c r="C140" i="10"/>
  <c r="G79" i="2"/>
  <c r="C79" i="2"/>
  <c r="F79" i="2"/>
  <c r="G95" i="2"/>
  <c r="C95" i="2"/>
  <c r="F95" i="2"/>
  <c r="G84" i="2"/>
  <c r="C84" i="2"/>
  <c r="F84" i="2"/>
  <c r="F77" i="2"/>
  <c r="E24" i="1" s="1"/>
  <c r="G24" i="1"/>
  <c r="G77" i="2"/>
  <c r="C77" i="2"/>
  <c r="F93" i="2"/>
  <c r="G93" i="2"/>
  <c r="C93" i="2"/>
  <c r="G86" i="2"/>
  <c r="C86" i="2"/>
  <c r="F86" i="2"/>
  <c r="G114" i="6"/>
  <c r="C114" i="6"/>
  <c r="F114" i="6"/>
  <c r="D127" i="11" l="1"/>
  <c r="D136" i="11"/>
  <c r="D132" i="11"/>
  <c r="D144" i="11"/>
  <c r="D142" i="11"/>
  <c r="D134" i="11"/>
  <c r="D139" i="11"/>
  <c r="D128" i="11"/>
  <c r="D146" i="11"/>
  <c r="D140" i="11"/>
  <c r="D131" i="11"/>
  <c r="D130" i="11"/>
  <c r="D147" i="11"/>
  <c r="D138" i="11"/>
  <c r="D129" i="11"/>
  <c r="D137" i="11"/>
  <c r="D143" i="11"/>
  <c r="D106" i="9"/>
  <c r="S102" i="9"/>
  <c r="I101" i="9"/>
  <c r="H45" i="1" s="1"/>
  <c r="D108" i="9"/>
  <c r="D118" i="9"/>
  <c r="D105" i="9"/>
  <c r="D122" i="9"/>
  <c r="D116" i="9"/>
  <c r="D123" i="9"/>
  <c r="D110" i="9"/>
  <c r="D121" i="9"/>
  <c r="D104" i="9"/>
  <c r="D113" i="9"/>
  <c r="D115" i="9"/>
  <c r="D107" i="9"/>
  <c r="D117" i="9"/>
  <c r="D120" i="9"/>
  <c r="D96" i="5"/>
  <c r="D85" i="5"/>
  <c r="D99" i="5"/>
  <c r="D81" i="5"/>
  <c r="D91" i="5"/>
  <c r="D98" i="5"/>
  <c r="D87" i="5"/>
  <c r="D90" i="5"/>
  <c r="D92" i="5"/>
  <c r="D94" i="5"/>
  <c r="D78" i="5"/>
  <c r="D83" i="5"/>
  <c r="D82" i="5"/>
  <c r="D79" i="5"/>
  <c r="I84" i="4"/>
  <c r="B18" i="1"/>
  <c r="D133" i="11"/>
  <c r="R133" i="11" s="1"/>
  <c r="I122" i="7"/>
  <c r="I120" i="6"/>
  <c r="S117" i="6"/>
  <c r="R117" i="6"/>
  <c r="T117" i="6"/>
  <c r="I116" i="8"/>
  <c r="T122" i="8"/>
  <c r="S122" i="8"/>
  <c r="R122" i="8"/>
  <c r="I107" i="8"/>
  <c r="I111" i="8"/>
  <c r="I98" i="2"/>
  <c r="R82" i="2"/>
  <c r="T82" i="2"/>
  <c r="S82" i="2"/>
  <c r="I80" i="2"/>
  <c r="T91" i="2"/>
  <c r="S91" i="2"/>
  <c r="R91" i="2"/>
  <c r="S144" i="10"/>
  <c r="T144" i="10"/>
  <c r="R144" i="10"/>
  <c r="T131" i="10"/>
  <c r="S131" i="10"/>
  <c r="R131" i="10"/>
  <c r="S102" i="7"/>
  <c r="R102" i="7"/>
  <c r="T102" i="7"/>
  <c r="F40" i="1"/>
  <c r="I100" i="6"/>
  <c r="H35" i="1" s="1"/>
  <c r="D35" i="1"/>
  <c r="R118" i="6"/>
  <c r="T118" i="6"/>
  <c r="S118" i="6"/>
  <c r="I86" i="4"/>
  <c r="D30" i="1"/>
  <c r="I77" i="4"/>
  <c r="H30" i="1" s="1"/>
  <c r="I81" i="4"/>
  <c r="S79" i="4"/>
  <c r="T79" i="4"/>
  <c r="T91" i="4"/>
  <c r="R91" i="4"/>
  <c r="S91" i="4"/>
  <c r="T120" i="7"/>
  <c r="S120" i="7"/>
  <c r="R120" i="7"/>
  <c r="I113" i="6"/>
  <c r="D93" i="5"/>
  <c r="D141" i="11"/>
  <c r="I112" i="8"/>
  <c r="I123" i="8"/>
  <c r="I100" i="8"/>
  <c r="H41" i="1" s="1"/>
  <c r="D41" i="1"/>
  <c r="I101" i="8"/>
  <c r="H42" i="1" s="1"/>
  <c r="D42" i="1"/>
  <c r="R105" i="8"/>
  <c r="T105" i="8"/>
  <c r="S105" i="8"/>
  <c r="D119" i="9"/>
  <c r="T112" i="7"/>
  <c r="S112" i="7"/>
  <c r="R112" i="7"/>
  <c r="I105" i="6"/>
  <c r="R96" i="3"/>
  <c r="T96" i="3"/>
  <c r="S96" i="3"/>
  <c r="I83" i="3"/>
  <c r="I87" i="3"/>
  <c r="T94" i="3"/>
  <c r="R94" i="3"/>
  <c r="S94" i="3"/>
  <c r="D114" i="9"/>
  <c r="T121" i="7"/>
  <c r="S121" i="7"/>
  <c r="R121" i="7"/>
  <c r="I89" i="3"/>
  <c r="I78" i="3"/>
  <c r="H28" i="1" s="1"/>
  <c r="D28" i="1"/>
  <c r="I94" i="2"/>
  <c r="T78" i="2"/>
  <c r="F25" i="1"/>
  <c r="S78" i="2"/>
  <c r="R129" i="10"/>
  <c r="S129" i="10"/>
  <c r="T129" i="10"/>
  <c r="I138" i="10"/>
  <c r="I132" i="10"/>
  <c r="T147" i="10"/>
  <c r="S147" i="10"/>
  <c r="R147" i="10"/>
  <c r="C16" i="1"/>
  <c r="I100" i="7"/>
  <c r="H38" i="1" s="1"/>
  <c r="D38" i="1"/>
  <c r="R98" i="4"/>
  <c r="S98" i="4"/>
  <c r="T98" i="4"/>
  <c r="I82" i="4"/>
  <c r="I97" i="4"/>
  <c r="R95" i="4"/>
  <c r="S95" i="4"/>
  <c r="T95" i="4"/>
  <c r="I76" i="4"/>
  <c r="H29" i="1" s="1"/>
  <c r="D29" i="1"/>
  <c r="I115" i="6"/>
  <c r="R106" i="6"/>
  <c r="T106" i="6"/>
  <c r="S106" i="6"/>
  <c r="I103" i="7"/>
  <c r="T108" i="6"/>
  <c r="S108" i="6"/>
  <c r="S109" i="8"/>
  <c r="R109" i="8"/>
  <c r="T109" i="8"/>
  <c r="I105" i="7"/>
  <c r="T107" i="6"/>
  <c r="S107" i="6"/>
  <c r="R107" i="6"/>
  <c r="I92" i="3"/>
  <c r="I85" i="3"/>
  <c r="I79" i="3"/>
  <c r="I82" i="3"/>
  <c r="I90" i="2"/>
  <c r="I99" i="2"/>
  <c r="T83" i="2"/>
  <c r="S83" i="2"/>
  <c r="R83" i="2"/>
  <c r="I126" i="10"/>
  <c r="H49" i="1" s="1"/>
  <c r="D49" i="1"/>
  <c r="I134" i="10"/>
  <c r="I146" i="10"/>
  <c r="S109" i="6"/>
  <c r="R109" i="6"/>
  <c r="T109" i="6"/>
  <c r="R94" i="4"/>
  <c r="T94" i="4"/>
  <c r="S94" i="4"/>
  <c r="R78" i="4"/>
  <c r="T78" i="4"/>
  <c r="S78" i="4"/>
  <c r="F31" i="1"/>
  <c r="I87" i="4"/>
  <c r="I92" i="4"/>
  <c r="T88" i="4"/>
  <c r="R88" i="4"/>
  <c r="S88" i="4"/>
  <c r="I119" i="7"/>
  <c r="S101" i="6"/>
  <c r="R101" i="6"/>
  <c r="T101" i="6"/>
  <c r="F36" i="1"/>
  <c r="I120" i="8"/>
  <c r="T106" i="8"/>
  <c r="S106" i="8"/>
  <c r="R106" i="8"/>
  <c r="I123" i="6"/>
  <c r="I88" i="3"/>
  <c r="S93" i="2"/>
  <c r="R93" i="2"/>
  <c r="T93" i="2"/>
  <c r="S140" i="10"/>
  <c r="T140" i="10"/>
  <c r="R140" i="10"/>
  <c r="I142" i="10"/>
  <c r="I136" i="10"/>
  <c r="I125" i="10"/>
  <c r="H48" i="1" s="1"/>
  <c r="D48" i="1"/>
  <c r="T109" i="7"/>
  <c r="S109" i="7"/>
  <c r="R109" i="7"/>
  <c r="I79" i="2"/>
  <c r="I127" i="10"/>
  <c r="R125" i="10"/>
  <c r="T125" i="10"/>
  <c r="S125" i="10"/>
  <c r="F48" i="1"/>
  <c r="D145" i="11"/>
  <c r="C12" i="1"/>
  <c r="S99" i="4"/>
  <c r="R99" i="4"/>
  <c r="T99" i="4"/>
  <c r="I80" i="4"/>
  <c r="T84" i="4"/>
  <c r="D84" i="4" s="1"/>
  <c r="S84" i="4"/>
  <c r="R84" i="4"/>
  <c r="S85" i="4"/>
  <c r="R85" i="4"/>
  <c r="T85" i="4"/>
  <c r="D112" i="9"/>
  <c r="S122" i="7"/>
  <c r="R122" i="7"/>
  <c r="T122" i="7"/>
  <c r="T120" i="6"/>
  <c r="S120" i="6"/>
  <c r="R120" i="6"/>
  <c r="D95" i="5"/>
  <c r="I103" i="6"/>
  <c r="D84" i="5"/>
  <c r="S103" i="8"/>
  <c r="T103" i="8"/>
  <c r="R103" i="8"/>
  <c r="S107" i="8"/>
  <c r="T107" i="8"/>
  <c r="D107" i="8" s="1"/>
  <c r="R107" i="8"/>
  <c r="I114" i="7"/>
  <c r="I86" i="3"/>
  <c r="R98" i="2"/>
  <c r="T98" i="2"/>
  <c r="S98" i="2"/>
  <c r="I89" i="2"/>
  <c r="I96" i="2"/>
  <c r="T80" i="2"/>
  <c r="S80" i="2"/>
  <c r="R80" i="2"/>
  <c r="I144" i="10"/>
  <c r="I124" i="10"/>
  <c r="H47" i="1" s="1"/>
  <c r="D47" i="1"/>
  <c r="R137" i="10"/>
  <c r="T137" i="10"/>
  <c r="S137" i="10"/>
  <c r="I123" i="7"/>
  <c r="T100" i="6"/>
  <c r="D100" i="6" s="1"/>
  <c r="S100" i="6"/>
  <c r="R100" i="6"/>
  <c r="F35" i="1"/>
  <c r="S81" i="4"/>
  <c r="T81" i="4"/>
  <c r="D81" i="4" s="1"/>
  <c r="R81" i="4"/>
  <c r="I79" i="4"/>
  <c r="S113" i="6"/>
  <c r="R113" i="6"/>
  <c r="T113" i="6"/>
  <c r="D80" i="5"/>
  <c r="I110" i="6"/>
  <c r="S119" i="8"/>
  <c r="T119" i="8"/>
  <c r="R119" i="8"/>
  <c r="S123" i="8"/>
  <c r="T123" i="8"/>
  <c r="D123" i="8" s="1"/>
  <c r="R123" i="8"/>
  <c r="R100" i="8"/>
  <c r="T100" i="8"/>
  <c r="D100" i="8" s="1"/>
  <c r="S100" i="8"/>
  <c r="F41" i="1"/>
  <c r="I105" i="8"/>
  <c r="S105" i="6"/>
  <c r="R105" i="6"/>
  <c r="T105" i="6"/>
  <c r="S95" i="3"/>
  <c r="T95" i="3"/>
  <c r="R95" i="3"/>
  <c r="S83" i="3"/>
  <c r="R83" i="3"/>
  <c r="T83" i="3"/>
  <c r="T78" i="3"/>
  <c r="S78" i="3"/>
  <c r="F28" i="1"/>
  <c r="R78" i="3"/>
  <c r="I90" i="3"/>
  <c r="R94" i="2"/>
  <c r="T94" i="2"/>
  <c r="S94" i="2"/>
  <c r="I87" i="2"/>
  <c r="I129" i="10"/>
  <c r="T130" i="10"/>
  <c r="S130" i="10"/>
  <c r="R130" i="10"/>
  <c r="I139" i="10"/>
  <c r="D126" i="11"/>
  <c r="B16" i="1"/>
  <c r="T100" i="7"/>
  <c r="D100" i="7" s="1"/>
  <c r="R100" i="7" s="1"/>
  <c r="S100" i="7"/>
  <c r="F38" i="1"/>
  <c r="I98" i="4"/>
  <c r="I93" i="4"/>
  <c r="S97" i="4"/>
  <c r="T97" i="4"/>
  <c r="D97" i="4" s="1"/>
  <c r="R97" i="4"/>
  <c r="I95" i="4"/>
  <c r="T76" i="4"/>
  <c r="D98" i="4" s="1"/>
  <c r="R76" i="4"/>
  <c r="S76" i="4"/>
  <c r="F29" i="1"/>
  <c r="I113" i="7"/>
  <c r="T115" i="6"/>
  <c r="S115" i="6"/>
  <c r="R115" i="6"/>
  <c r="I108" i="7"/>
  <c r="R103" i="7"/>
  <c r="T103" i="7"/>
  <c r="S103" i="7"/>
  <c r="R108" i="8"/>
  <c r="T108" i="8"/>
  <c r="S108" i="8"/>
  <c r="I109" i="8"/>
  <c r="I117" i="8"/>
  <c r="R121" i="8"/>
  <c r="T121" i="8"/>
  <c r="S121" i="8"/>
  <c r="I102" i="8"/>
  <c r="H43" i="1" s="1"/>
  <c r="D43" i="1"/>
  <c r="T105" i="7"/>
  <c r="S105" i="7"/>
  <c r="R105" i="7"/>
  <c r="I121" i="6"/>
  <c r="I99" i="3"/>
  <c r="S79" i="3"/>
  <c r="R79" i="3"/>
  <c r="T79" i="3"/>
  <c r="T82" i="3"/>
  <c r="S82" i="3"/>
  <c r="R82" i="3"/>
  <c r="I114" i="8"/>
  <c r="I84" i="3"/>
  <c r="T93" i="3"/>
  <c r="S93" i="3"/>
  <c r="R93" i="3"/>
  <c r="R97" i="3"/>
  <c r="T97" i="3"/>
  <c r="S97" i="3"/>
  <c r="R90" i="2"/>
  <c r="T90" i="2"/>
  <c r="S90" i="2"/>
  <c r="I81" i="2"/>
  <c r="I88" i="2"/>
  <c r="T99" i="2"/>
  <c r="S99" i="2"/>
  <c r="R99" i="2"/>
  <c r="S128" i="10"/>
  <c r="T128" i="10"/>
  <c r="R128" i="10"/>
  <c r="I111" i="7"/>
  <c r="S83" i="4"/>
  <c r="R83" i="4"/>
  <c r="T83" i="4"/>
  <c r="T87" i="4"/>
  <c r="D87" i="4" s="1"/>
  <c r="S87" i="4"/>
  <c r="R87" i="4"/>
  <c r="T92" i="4"/>
  <c r="D92" i="4" s="1"/>
  <c r="R92" i="4" s="1"/>
  <c r="S92" i="4"/>
  <c r="I122" i="6"/>
  <c r="I101" i="7"/>
  <c r="H39" i="1" s="1"/>
  <c r="D39" i="1"/>
  <c r="R119" i="7"/>
  <c r="T119" i="7"/>
  <c r="S119" i="7"/>
  <c r="R104" i="8"/>
  <c r="T104" i="8"/>
  <c r="S104" i="8"/>
  <c r="R123" i="6"/>
  <c r="T123" i="6"/>
  <c r="S123" i="6"/>
  <c r="T84" i="2"/>
  <c r="S84" i="2"/>
  <c r="R84" i="2"/>
  <c r="I86" i="2"/>
  <c r="R86" i="2"/>
  <c r="T86" i="2"/>
  <c r="S86" i="2"/>
  <c r="I95" i="2"/>
  <c r="T79" i="2"/>
  <c r="S79" i="2"/>
  <c r="R79" i="2"/>
  <c r="I135" i="10"/>
  <c r="T127" i="10"/>
  <c r="D127" i="10" s="1"/>
  <c r="S127" i="10"/>
  <c r="R127" i="10"/>
  <c r="I111" i="6"/>
  <c r="I102" i="6"/>
  <c r="H37" i="1" s="1"/>
  <c r="D37" i="1"/>
  <c r="B12" i="1"/>
  <c r="I90" i="4"/>
  <c r="T80" i="4"/>
  <c r="D80" i="4" s="1"/>
  <c r="S80" i="4"/>
  <c r="R80" i="4"/>
  <c r="S89" i="4"/>
  <c r="R89" i="4"/>
  <c r="T89" i="4"/>
  <c r="I85" i="4"/>
  <c r="C18" i="1"/>
  <c r="D109" i="9"/>
  <c r="I104" i="7"/>
  <c r="D86" i="5"/>
  <c r="D111" i="9"/>
  <c r="I117" i="7"/>
  <c r="T103" i="6"/>
  <c r="S103" i="6"/>
  <c r="I103" i="8"/>
  <c r="S115" i="8"/>
  <c r="R115" i="8"/>
  <c r="T115" i="8"/>
  <c r="S114" i="7"/>
  <c r="R114" i="7"/>
  <c r="T114" i="7"/>
  <c r="T86" i="3"/>
  <c r="S86" i="3"/>
  <c r="R86" i="3"/>
  <c r="S89" i="2"/>
  <c r="R89" i="2"/>
  <c r="T89" i="2"/>
  <c r="T96" i="2"/>
  <c r="S96" i="2"/>
  <c r="R96" i="2"/>
  <c r="R145" i="10"/>
  <c r="S145" i="10"/>
  <c r="T145" i="10"/>
  <c r="R124" i="10"/>
  <c r="T124" i="10"/>
  <c r="D125" i="10" s="1"/>
  <c r="S124" i="10"/>
  <c r="F47" i="1"/>
  <c r="I143" i="10"/>
  <c r="R123" i="7"/>
  <c r="T123" i="7"/>
  <c r="S123" i="7"/>
  <c r="D76" i="5"/>
  <c r="R86" i="4"/>
  <c r="S86" i="4"/>
  <c r="T86" i="4"/>
  <c r="D86" i="4" s="1"/>
  <c r="I96" i="4"/>
  <c r="S77" i="4"/>
  <c r="T77" i="4"/>
  <c r="D77" i="4" s="1"/>
  <c r="R77" i="4"/>
  <c r="F30" i="1"/>
  <c r="I91" i="4"/>
  <c r="I115" i="7"/>
  <c r="D89" i="5"/>
  <c r="I110" i="7"/>
  <c r="I119" i="6"/>
  <c r="T110" i="6"/>
  <c r="S110" i="6"/>
  <c r="D77" i="5"/>
  <c r="D125" i="11"/>
  <c r="I119" i="8"/>
  <c r="T101" i="8"/>
  <c r="D105" i="8" s="1"/>
  <c r="S101" i="8"/>
  <c r="R101" i="8"/>
  <c r="F42" i="1"/>
  <c r="I107" i="7"/>
  <c r="I96" i="3"/>
  <c r="I95" i="3"/>
  <c r="I76" i="3"/>
  <c r="H26" i="1" s="1"/>
  <c r="D26" i="1"/>
  <c r="I118" i="8"/>
  <c r="D88" i="5"/>
  <c r="I112" i="6"/>
  <c r="T90" i="3"/>
  <c r="S90" i="3"/>
  <c r="R90" i="3"/>
  <c r="I85" i="2"/>
  <c r="I92" i="2"/>
  <c r="D23" i="1"/>
  <c r="I76" i="2"/>
  <c r="H23" i="1" s="1"/>
  <c r="T87" i="2"/>
  <c r="S87" i="2"/>
  <c r="R87" i="2"/>
  <c r="I130" i="10"/>
  <c r="T139" i="10"/>
  <c r="D139" i="10" s="1"/>
  <c r="S139" i="10"/>
  <c r="R139" i="10"/>
  <c r="I118" i="7"/>
  <c r="I116" i="6"/>
  <c r="S93" i="4"/>
  <c r="T93" i="4"/>
  <c r="D93" i="4" s="1"/>
  <c r="R93" i="4"/>
  <c r="T113" i="7"/>
  <c r="S113" i="7"/>
  <c r="R113" i="7"/>
  <c r="T108" i="7"/>
  <c r="S108" i="7"/>
  <c r="R108" i="7"/>
  <c r="I108" i="8"/>
  <c r="T113" i="8"/>
  <c r="S113" i="8"/>
  <c r="R113" i="8"/>
  <c r="I121" i="8"/>
  <c r="T102" i="8"/>
  <c r="D102" i="8" s="1"/>
  <c r="R102" i="8"/>
  <c r="S102" i="8"/>
  <c r="F43" i="1"/>
  <c r="S121" i="6"/>
  <c r="R121" i="6"/>
  <c r="T121" i="6"/>
  <c r="S99" i="3"/>
  <c r="T99" i="3"/>
  <c r="R99" i="3"/>
  <c r="S91" i="3"/>
  <c r="R91" i="3"/>
  <c r="T91" i="3"/>
  <c r="I110" i="8"/>
  <c r="T114" i="8"/>
  <c r="D114" i="8" s="1"/>
  <c r="S114" i="8"/>
  <c r="R114" i="8"/>
  <c r="D97" i="5"/>
  <c r="R84" i="3"/>
  <c r="T84" i="3"/>
  <c r="S84" i="3"/>
  <c r="I98" i="3"/>
  <c r="I97" i="3"/>
  <c r="I97" i="2"/>
  <c r="S81" i="2"/>
  <c r="R81" i="2"/>
  <c r="T81" i="2"/>
  <c r="T88" i="2"/>
  <c r="S88" i="2"/>
  <c r="R88" i="2"/>
  <c r="R141" i="10"/>
  <c r="T141" i="10"/>
  <c r="S141" i="10"/>
  <c r="T134" i="10"/>
  <c r="D134" i="10" s="1"/>
  <c r="R134" i="10" s="1"/>
  <c r="S134" i="10"/>
  <c r="R133" i="10"/>
  <c r="T133" i="10"/>
  <c r="S133" i="10"/>
  <c r="I128" i="10"/>
  <c r="I116" i="7"/>
  <c r="R111" i="7"/>
  <c r="T111" i="7"/>
  <c r="S111" i="7"/>
  <c r="I94" i="4"/>
  <c r="I78" i="4"/>
  <c r="H31" i="1" s="1"/>
  <c r="D78" i="4"/>
  <c r="D31" i="1"/>
  <c r="I106" i="7"/>
  <c r="I104" i="6"/>
  <c r="R122" i="6"/>
  <c r="T122" i="6"/>
  <c r="S122" i="6"/>
  <c r="D101" i="9"/>
  <c r="T101" i="7"/>
  <c r="S101" i="7"/>
  <c r="F39" i="1"/>
  <c r="R120" i="8"/>
  <c r="T120" i="8"/>
  <c r="D120" i="8" s="1"/>
  <c r="S120" i="8"/>
  <c r="I81" i="3"/>
  <c r="I80" i="3"/>
  <c r="I77" i="3"/>
  <c r="H27" i="1" s="1"/>
  <c r="D27" i="1"/>
  <c r="I114" i="6"/>
  <c r="I77" i="2"/>
  <c r="H24" i="1" s="1"/>
  <c r="D24" i="1"/>
  <c r="R114" i="6"/>
  <c r="T114" i="6"/>
  <c r="S114" i="6"/>
  <c r="I93" i="2"/>
  <c r="S77" i="2"/>
  <c r="R77" i="2"/>
  <c r="F24" i="1"/>
  <c r="T77" i="2"/>
  <c r="I84" i="2"/>
  <c r="T95" i="2"/>
  <c r="S95" i="2"/>
  <c r="R95" i="2"/>
  <c r="I140" i="10"/>
  <c r="S142" i="10"/>
  <c r="R142" i="10"/>
  <c r="T142" i="10"/>
  <c r="D142" i="10" s="1"/>
  <c r="T135" i="10"/>
  <c r="D135" i="10" s="1"/>
  <c r="R135" i="10"/>
  <c r="S135" i="10"/>
  <c r="S136" i="10"/>
  <c r="T136" i="10"/>
  <c r="D136" i="10" s="1"/>
  <c r="R136" i="10"/>
  <c r="I109" i="7"/>
  <c r="T111" i="6"/>
  <c r="S111" i="6"/>
  <c r="R102" i="6"/>
  <c r="T102" i="6"/>
  <c r="D102" i="6" s="1"/>
  <c r="S102" i="6"/>
  <c r="F37" i="1"/>
  <c r="R90" i="4"/>
  <c r="T90" i="4"/>
  <c r="D90" i="4" s="1"/>
  <c r="S90" i="4"/>
  <c r="I99" i="4"/>
  <c r="I89" i="4"/>
  <c r="D135" i="11"/>
  <c r="T104" i="7"/>
  <c r="S104" i="7"/>
  <c r="R104" i="7"/>
  <c r="T117" i="7"/>
  <c r="S117" i="7"/>
  <c r="R117" i="7"/>
  <c r="I117" i="6"/>
  <c r="R116" i="8"/>
  <c r="T116" i="8"/>
  <c r="D116" i="8" s="1"/>
  <c r="S116" i="8"/>
  <c r="I122" i="8"/>
  <c r="S111" i="8"/>
  <c r="T111" i="8"/>
  <c r="D111" i="8" s="1"/>
  <c r="R111" i="8"/>
  <c r="I115" i="8"/>
  <c r="I82" i="2"/>
  <c r="I91" i="2"/>
  <c r="I145" i="10"/>
  <c r="I137" i="10"/>
  <c r="I131" i="10"/>
  <c r="T143" i="10"/>
  <c r="D143" i="10" s="1"/>
  <c r="S143" i="10"/>
  <c r="R143" i="10"/>
  <c r="I102" i="7"/>
  <c r="H40" i="1" s="1"/>
  <c r="D40" i="1"/>
  <c r="I118" i="6"/>
  <c r="T96" i="4"/>
  <c r="D96" i="4" s="1"/>
  <c r="S96" i="4"/>
  <c r="R96" i="4"/>
  <c r="I120" i="7"/>
  <c r="R115" i="7"/>
  <c r="T115" i="7"/>
  <c r="S115" i="7"/>
  <c r="S110" i="7"/>
  <c r="R110" i="7"/>
  <c r="T110" i="7"/>
  <c r="T119" i="6"/>
  <c r="S119" i="6"/>
  <c r="R119" i="6"/>
  <c r="R112" i="8"/>
  <c r="S112" i="8"/>
  <c r="T112" i="8"/>
  <c r="D112" i="8" s="1"/>
  <c r="I112" i="7"/>
  <c r="R107" i="7"/>
  <c r="T107" i="7"/>
  <c r="S107" i="7"/>
  <c r="R76" i="3"/>
  <c r="T76" i="3"/>
  <c r="S76" i="3"/>
  <c r="F26" i="1"/>
  <c r="S87" i="3"/>
  <c r="T87" i="3"/>
  <c r="R87" i="3"/>
  <c r="I94" i="3"/>
  <c r="T118" i="8"/>
  <c r="D118" i="8" s="1"/>
  <c r="R118" i="8"/>
  <c r="S118" i="8"/>
  <c r="I121" i="7"/>
  <c r="T89" i="3"/>
  <c r="S89" i="3"/>
  <c r="R89" i="3"/>
  <c r="T112" i="6"/>
  <c r="S112" i="6"/>
  <c r="R112" i="6"/>
  <c r="D25" i="1"/>
  <c r="I78" i="2"/>
  <c r="H25" i="1" s="1"/>
  <c r="S85" i="2"/>
  <c r="R85" i="2"/>
  <c r="T85" i="2"/>
  <c r="T92" i="2"/>
  <c r="S92" i="2"/>
  <c r="R92" i="2"/>
  <c r="T76" i="2"/>
  <c r="F23" i="1"/>
  <c r="S76" i="2"/>
  <c r="R76" i="2"/>
  <c r="R138" i="10"/>
  <c r="T138" i="10"/>
  <c r="D138" i="10" s="1"/>
  <c r="S138" i="10"/>
  <c r="S132" i="10"/>
  <c r="T132" i="10"/>
  <c r="D132" i="10" s="1"/>
  <c r="R132" i="10" s="1"/>
  <c r="I147" i="10"/>
  <c r="S118" i="7"/>
  <c r="R118" i="7"/>
  <c r="T118" i="7"/>
  <c r="T116" i="6"/>
  <c r="S116" i="6"/>
  <c r="R116" i="6"/>
  <c r="R82" i="4"/>
  <c r="S82" i="4"/>
  <c r="T82" i="4"/>
  <c r="D82" i="4" s="1"/>
  <c r="I106" i="6"/>
  <c r="I108" i="6"/>
  <c r="I113" i="8"/>
  <c r="T117" i="8"/>
  <c r="D117" i="8" s="1"/>
  <c r="S117" i="8"/>
  <c r="R117" i="8"/>
  <c r="I107" i="6"/>
  <c r="R92" i="3"/>
  <c r="T92" i="3"/>
  <c r="S92" i="3"/>
  <c r="S85" i="3"/>
  <c r="R85" i="3"/>
  <c r="T85" i="3"/>
  <c r="I91" i="3"/>
  <c r="T110" i="8"/>
  <c r="D115" i="8" s="1"/>
  <c r="S110" i="8"/>
  <c r="R110" i="8"/>
  <c r="I93" i="3"/>
  <c r="T98" i="3"/>
  <c r="S98" i="3"/>
  <c r="R98" i="3"/>
  <c r="S97" i="2"/>
  <c r="R97" i="2"/>
  <c r="T97" i="2"/>
  <c r="I83" i="2"/>
  <c r="S126" i="10"/>
  <c r="R126" i="10"/>
  <c r="T126" i="10"/>
  <c r="D130" i="10" s="1"/>
  <c r="F49" i="1"/>
  <c r="I141" i="10"/>
  <c r="T146" i="10"/>
  <c r="D146" i="10" s="1"/>
  <c r="S146" i="10"/>
  <c r="R146" i="10"/>
  <c r="D133" i="10"/>
  <c r="I133" i="10"/>
  <c r="T116" i="7"/>
  <c r="S116" i="7"/>
  <c r="R116" i="7"/>
  <c r="I109" i="6"/>
  <c r="I83" i="4"/>
  <c r="I88" i="4"/>
  <c r="D88" i="4"/>
  <c r="S106" i="7"/>
  <c r="R106" i="7"/>
  <c r="T106" i="7"/>
  <c r="T104" i="6"/>
  <c r="S104" i="6"/>
  <c r="R104" i="6"/>
  <c r="I101" i="6"/>
  <c r="H36" i="1" s="1"/>
  <c r="D101" i="6"/>
  <c r="D36" i="1"/>
  <c r="D104" i="8"/>
  <c r="I104" i="8"/>
  <c r="D106" i="8"/>
  <c r="I106" i="8"/>
  <c r="R88" i="3"/>
  <c r="S88" i="3"/>
  <c r="T88" i="3"/>
  <c r="T81" i="3"/>
  <c r="S81" i="3"/>
  <c r="R81" i="3"/>
  <c r="R80" i="3"/>
  <c r="T80" i="3"/>
  <c r="S80" i="3"/>
  <c r="F27" i="1"/>
  <c r="T77" i="3"/>
  <c r="S77" i="3"/>
  <c r="R77" i="3"/>
  <c r="D88" i="3" l="1"/>
  <c r="D93" i="3"/>
  <c r="D101" i="7"/>
  <c r="R101" i="7" s="1"/>
  <c r="D117" i="7"/>
  <c r="D111" i="7"/>
  <c r="D113" i="7"/>
  <c r="D116" i="7"/>
  <c r="D116" i="6"/>
  <c r="D123" i="7"/>
  <c r="D119" i="7"/>
  <c r="D108" i="7"/>
  <c r="D122" i="7"/>
  <c r="D118" i="7"/>
  <c r="D107" i="7"/>
  <c r="D106" i="7"/>
  <c r="D110" i="7"/>
  <c r="D115" i="7"/>
  <c r="D102" i="7"/>
  <c r="D109" i="7"/>
  <c r="D114" i="7"/>
  <c r="D105" i="7"/>
  <c r="D103" i="7"/>
  <c r="D106" i="6"/>
  <c r="D115" i="6"/>
  <c r="D119" i="6"/>
  <c r="D105" i="6"/>
  <c r="D113" i="6"/>
  <c r="D122" i="6"/>
  <c r="D121" i="6"/>
  <c r="D123" i="6"/>
  <c r="D112" i="6"/>
  <c r="D120" i="6"/>
  <c r="D114" i="6"/>
  <c r="D109" i="6"/>
  <c r="D111" i="6"/>
  <c r="R111" i="6" s="1"/>
  <c r="D110" i="6"/>
  <c r="R110" i="6" s="1"/>
  <c r="D103" i="6"/>
  <c r="R103" i="6" s="1"/>
  <c r="D79" i="3"/>
  <c r="D84" i="3"/>
  <c r="D92" i="3"/>
  <c r="D87" i="3"/>
  <c r="D95" i="3"/>
  <c r="D90" i="3"/>
  <c r="D86" i="3"/>
  <c r="D78" i="3"/>
  <c r="D98" i="3"/>
  <c r="D99" i="3"/>
  <c r="D85" i="3"/>
  <c r="D80" i="3"/>
  <c r="D81" i="3"/>
  <c r="D89" i="3"/>
  <c r="D82" i="3"/>
  <c r="D83" i="3"/>
  <c r="D83" i="2"/>
  <c r="D97" i="2"/>
  <c r="D77" i="2"/>
  <c r="D99" i="2"/>
  <c r="D92" i="2"/>
  <c r="D96" i="2"/>
  <c r="D94" i="2"/>
  <c r="D86" i="2"/>
  <c r="D85" i="2"/>
  <c r="D88" i="2"/>
  <c r="D89" i="2"/>
  <c r="D80" i="2"/>
  <c r="D98" i="2"/>
  <c r="D87" i="2"/>
  <c r="D79" i="2"/>
  <c r="D95" i="2"/>
  <c r="D81" i="2"/>
  <c r="D90" i="2"/>
  <c r="B14" i="1"/>
  <c r="D108" i="6"/>
  <c r="R108" i="6" s="1"/>
  <c r="D121" i="7"/>
  <c r="D118" i="6"/>
  <c r="D131" i="10"/>
  <c r="D82" i="2"/>
  <c r="D122" i="8"/>
  <c r="D117" i="6"/>
  <c r="D77" i="3"/>
  <c r="D94" i="4"/>
  <c r="D121" i="8"/>
  <c r="D76" i="2"/>
  <c r="D76" i="3"/>
  <c r="C17" i="1"/>
  <c r="D95" i="4"/>
  <c r="D79" i="4"/>
  <c r="R79" i="4" s="1"/>
  <c r="B11" i="1" s="1"/>
  <c r="D126" i="10"/>
  <c r="D107" i="6"/>
  <c r="D147" i="10"/>
  <c r="B10" i="1"/>
  <c r="D112" i="7"/>
  <c r="D145" i="10"/>
  <c r="D93" i="2"/>
  <c r="D104" i="6"/>
  <c r="D108" i="8"/>
  <c r="D96" i="3"/>
  <c r="D119" i="8"/>
  <c r="D109" i="8"/>
  <c r="C11" i="1"/>
  <c r="D129" i="10"/>
  <c r="C15" i="1"/>
  <c r="D144" i="10"/>
  <c r="D76" i="4"/>
  <c r="D101" i="8"/>
  <c r="D83" i="4"/>
  <c r="D141" i="10"/>
  <c r="D91" i="3"/>
  <c r="D113" i="8"/>
  <c r="C9" i="1"/>
  <c r="D94" i="3"/>
  <c r="D91" i="2"/>
  <c r="D89" i="4"/>
  <c r="D97" i="3"/>
  <c r="D110" i="8"/>
  <c r="D91" i="4"/>
  <c r="B17" i="1"/>
  <c r="D103" i="8"/>
  <c r="D104" i="7"/>
  <c r="D85" i="4"/>
  <c r="D78" i="2"/>
  <c r="R78" i="2" s="1"/>
  <c r="B9" i="1" s="1"/>
  <c r="C10" i="1"/>
  <c r="D120" i="7"/>
  <c r="D137" i="10"/>
  <c r="D99" i="4"/>
  <c r="D140" i="10"/>
  <c r="D84" i="2"/>
  <c r="D128" i="10"/>
  <c r="C14" i="1"/>
  <c r="B15" i="1"/>
  <c r="C13" i="1"/>
  <c r="D124" i="10"/>
  <c r="B13" i="1" l="1"/>
  <c r="B19" i="1" s="1"/>
  <c r="C19" i="1"/>
</calcChain>
</file>

<file path=xl/sharedStrings.xml><?xml version="1.0" encoding="utf-8"?>
<sst xmlns="http://schemas.openxmlformats.org/spreadsheetml/2006/main" count="1287" uniqueCount="451">
  <si>
    <t xml:space="preserve">MEET DAY : </t>
  </si>
  <si>
    <t xml:space="preserve">MEET MONTH : </t>
  </si>
  <si>
    <t xml:space="preserve">MEET YEAR : </t>
  </si>
  <si>
    <t xml:space="preserve">HOME POOL : </t>
  </si>
  <si>
    <t>Side</t>
  </si>
  <si>
    <t xml:space="preserve">HOME REP : </t>
  </si>
  <si>
    <t>Kent Chown</t>
  </si>
  <si>
    <t xml:space="preserve">VISITOR POOL : </t>
  </si>
  <si>
    <t>ALPS</t>
  </si>
  <si>
    <t>Renee Marak</t>
  </si>
  <si>
    <t>TEAM POINTS</t>
  </si>
  <si>
    <t>8- G</t>
  </si>
  <si>
    <t>8- B</t>
  </si>
  <si>
    <t>9-10 G</t>
  </si>
  <si>
    <t>9-10 B</t>
  </si>
  <si>
    <t>11-12 G</t>
  </si>
  <si>
    <t>11-12 B</t>
  </si>
  <si>
    <t>13-14 G</t>
  </si>
  <si>
    <t>13-14 B</t>
  </si>
  <si>
    <t>15+ G</t>
  </si>
  <si>
    <t>15+ B</t>
  </si>
  <si>
    <t>TOTAL</t>
  </si>
  <si>
    <t>TOP 3 DIVERS IN EACH SECTION</t>
  </si>
  <si>
    <t>DATE</t>
  </si>
  <si>
    <t>MEET</t>
  </si>
  <si>
    <t>GROUP</t>
  </si>
  <si>
    <t>POSITION</t>
  </si>
  <si>
    <t>NAME</t>
  </si>
  <si>
    <t>POOL</t>
  </si>
  <si>
    <t>SCORE</t>
  </si>
  <si>
    <t>TIE?</t>
  </si>
  <si>
    <t>IN CASE OF TIES OR EXHIBITION DIVERS, MANUALLY ADD ADDITONAL TOP-3 DIVERS HERE</t>
  </si>
  <si>
    <t>#</t>
  </si>
  <si>
    <t>CLUB</t>
  </si>
  <si>
    <t>DIVE</t>
  </si>
  <si>
    <t>DESC</t>
  </si>
  <si>
    <t>DD</t>
  </si>
  <si>
    <t>JUDGE1</t>
  </si>
  <si>
    <t>JUDGE2</t>
  </si>
  <si>
    <t>JUDGE3</t>
  </si>
  <si>
    <t>JUDGE4</t>
  </si>
  <si>
    <t>JUDGE5</t>
  </si>
  <si>
    <t>BALK?</t>
  </si>
  <si>
    <t>Audrey Altman</t>
  </si>
  <si>
    <t>MWAC</t>
  </si>
  <si>
    <t>100c</t>
  </si>
  <si>
    <t>201d</t>
  </si>
  <si>
    <t>101d</t>
  </si>
  <si>
    <t>Audrey Roy</t>
  </si>
  <si>
    <t>HCP</t>
  </si>
  <si>
    <t>200a</t>
  </si>
  <si>
    <t>Autumn Davidson</t>
  </si>
  <si>
    <t>Val</t>
  </si>
  <si>
    <t>100b</t>
  </si>
  <si>
    <t>101a</t>
  </si>
  <si>
    <t>Avery Mark</t>
  </si>
  <si>
    <t>Beckett Cummings</t>
  </si>
  <si>
    <t>Cedar</t>
  </si>
  <si>
    <t>201a</t>
  </si>
  <si>
    <t>Bella Bolanis</t>
  </si>
  <si>
    <t>VIK</t>
  </si>
  <si>
    <t>200c</t>
  </si>
  <si>
    <t>Brynn Anderson</t>
  </si>
  <si>
    <t>100a</t>
  </si>
  <si>
    <t>5211a</t>
  </si>
  <si>
    <t>Chloe McLean</t>
  </si>
  <si>
    <t>Émilie Dubois</t>
  </si>
  <si>
    <t>Emmanuelle Pomerleau</t>
  </si>
  <si>
    <t>Juliana Hillier</t>
  </si>
  <si>
    <t>Maddy Machado</t>
  </si>
  <si>
    <t>Mackenzie Landry-Johnston</t>
  </si>
  <si>
    <t>Mimi Politis</t>
  </si>
  <si>
    <t>102c</t>
  </si>
  <si>
    <t>Reagan Cummings</t>
  </si>
  <si>
    <t>Rylan Miller</t>
  </si>
  <si>
    <t>Madeline Van Sickle</t>
  </si>
  <si>
    <t>PVPC</t>
  </si>
  <si>
    <t>Thalia Graham</t>
  </si>
  <si>
    <t>PLACE</t>
  </si>
  <si>
    <r>
      <rPr>
        <b/>
        <sz val="11"/>
        <color rgb="FF000000"/>
        <rFont val="Calibri"/>
        <family val="2"/>
        <charset val="1"/>
      </rPr>
      <t xml:space="preserve">CLUB
</t>
    </r>
    <r>
      <rPr>
        <b/>
        <u/>
        <sz val="11"/>
        <color rgb="FF000000"/>
        <rFont val="Calibri"/>
        <family val="2"/>
        <charset val="1"/>
      </rPr>
      <t>PTS</t>
    </r>
  </si>
  <si>
    <t>POINTS</t>
  </si>
  <si>
    <t>EXHIB?</t>
  </si>
  <si>
    <t>Tori Barnes</t>
  </si>
  <si>
    <t>BHILL</t>
  </si>
  <si>
    <t>Clementine N-J</t>
  </si>
  <si>
    <t>Kira Leslie</t>
  </si>
  <si>
    <t>100C</t>
  </si>
  <si>
    <t>Alexandra Mier</t>
  </si>
  <si>
    <t>WLRC</t>
  </si>
  <si>
    <t>101c</t>
  </si>
  <si>
    <t>Anna Nyisztor</t>
  </si>
  <si>
    <t>Clara Terziyan</t>
  </si>
  <si>
    <t>Emily Hennon</t>
  </si>
  <si>
    <t>Emma McRobbie</t>
  </si>
  <si>
    <t>Emma Morello</t>
  </si>
  <si>
    <t>Jadyn Wener</t>
  </si>
  <si>
    <t>401c</t>
  </si>
  <si>
    <t>Julia Preda</t>
  </si>
  <si>
    <t>Katie Chiarella</t>
  </si>
  <si>
    <t>Kayleigh Wilds</t>
  </si>
  <si>
    <t>Keira Brady</t>
  </si>
  <si>
    <t>Lilli Atkinson</t>
  </si>
  <si>
    <t xml:space="preserve">Lily Phaneuf </t>
  </si>
  <si>
    <t>Mikaelle Pomerleau</t>
  </si>
  <si>
    <t>Olivia Roy</t>
  </si>
  <si>
    <t>Sarah Nelson</t>
  </si>
  <si>
    <t>Shayla Mcmahon</t>
  </si>
  <si>
    <t>Sheryl Young</t>
  </si>
  <si>
    <t>Alexandra Janidlo</t>
  </si>
  <si>
    <t>Alyssa Ross</t>
  </si>
  <si>
    <t>Annabelle Hillier</t>
  </si>
  <si>
    <t>201c</t>
  </si>
  <si>
    <t>202c</t>
  </si>
  <si>
    <t>Emily Roy</t>
  </si>
  <si>
    <t>200C</t>
  </si>
  <si>
    <t>201A</t>
  </si>
  <si>
    <t>101A</t>
  </si>
  <si>
    <t>Eve Vigneault</t>
  </si>
  <si>
    <t>101C</t>
  </si>
  <si>
    <t>202C</t>
  </si>
  <si>
    <t>5211A</t>
  </si>
  <si>
    <t>Gabby Esposito</t>
  </si>
  <si>
    <t>Kaitlyn Ip</t>
  </si>
  <si>
    <t>401C</t>
  </si>
  <si>
    <t>Laurie Beluse</t>
  </si>
  <si>
    <t>100A</t>
  </si>
  <si>
    <t>Lianne Discepola</t>
  </si>
  <si>
    <t>Lucy Wood</t>
  </si>
  <si>
    <t>Mackenzie Brook</t>
  </si>
  <si>
    <t>201D</t>
  </si>
  <si>
    <t>Mackenzie Patrouille</t>
  </si>
  <si>
    <t>101B</t>
  </si>
  <si>
    <t>202A</t>
  </si>
  <si>
    <t>102C</t>
  </si>
  <si>
    <t>Maya Narchessault</t>
  </si>
  <si>
    <t>Myriam Akrivos</t>
  </si>
  <si>
    <t>Sophia Cyrenne</t>
  </si>
  <si>
    <t>SNVL</t>
  </si>
  <si>
    <t>101b</t>
  </si>
  <si>
    <t>102b</t>
  </si>
  <si>
    <t>Verona Huber-Chois</t>
  </si>
  <si>
    <t>Tess Szekula</t>
  </si>
  <si>
    <t>Evelyne De Sales-Laterriere</t>
  </si>
  <si>
    <t>Olivia Wood</t>
  </si>
  <si>
    <t>Zoe Morinville</t>
  </si>
  <si>
    <t>5121a</t>
  </si>
  <si>
    <t>202a</t>
  </si>
  <si>
    <t>103b</t>
  </si>
  <si>
    <t>5131b</t>
  </si>
  <si>
    <t>Holly Cameron</t>
  </si>
  <si>
    <t>Vik</t>
  </si>
  <si>
    <t>Lea Beluse</t>
  </si>
  <si>
    <t>Cassandra Johnson</t>
  </si>
  <si>
    <t>Kelly Patrouille</t>
  </si>
  <si>
    <t>Katya Stogornyuk</t>
  </si>
  <si>
    <t>103c</t>
  </si>
  <si>
    <t>Zoe Nelson</t>
  </si>
  <si>
    <t>Shibon Morgan-Tracey</t>
  </si>
  <si>
    <t>402C</t>
  </si>
  <si>
    <t>Sara Hitchen</t>
  </si>
  <si>
    <t>Stef Reeves</t>
  </si>
  <si>
    <t>401b</t>
  </si>
  <si>
    <t>402c</t>
  </si>
  <si>
    <t>Hannah Di Francesco</t>
  </si>
  <si>
    <t>102A</t>
  </si>
  <si>
    <t>401B</t>
  </si>
  <si>
    <t>5122D</t>
  </si>
  <si>
    <t>5223D</t>
  </si>
  <si>
    <t>Victoria Hanna</t>
  </si>
  <si>
    <t>Sammy Sherrard</t>
  </si>
  <si>
    <t>5111a</t>
  </si>
  <si>
    <t>Margaret Marak</t>
  </si>
  <si>
    <t>5111A</t>
  </si>
  <si>
    <t>Hannah Long-Metcalf</t>
  </si>
  <si>
    <t>Zoë Di Francesco</t>
  </si>
  <si>
    <t>5221D</t>
  </si>
  <si>
    <t>Emma Geoffroy</t>
  </si>
  <si>
    <t>Lauren Kuzak</t>
  </si>
  <si>
    <t>5121d</t>
  </si>
  <si>
    <t>Dana Hay</t>
  </si>
  <si>
    <t>Abby W.-A.</t>
  </si>
  <si>
    <t>5121b</t>
  </si>
  <si>
    <t>BDAC</t>
  </si>
  <si>
    <t>Front jump layout</t>
  </si>
  <si>
    <t>BEAU</t>
  </si>
  <si>
    <t>100B</t>
  </si>
  <si>
    <t>Front jump pike</t>
  </si>
  <si>
    <t>Front jump tuck</t>
  </si>
  <si>
    <t>BHTS</t>
  </si>
  <si>
    <t>Front dive layout</t>
  </si>
  <si>
    <t>CAVIP</t>
  </si>
  <si>
    <t>Front dive pike</t>
  </si>
  <si>
    <t>CEDAR</t>
  </si>
  <si>
    <t>Front dive tuck</t>
  </si>
  <si>
    <t>DIXIE</t>
  </si>
  <si>
    <t>101D</t>
  </si>
  <si>
    <t>Front fall-in</t>
  </si>
  <si>
    <t>Front somersault layout</t>
  </si>
  <si>
    <t>HYC</t>
  </si>
  <si>
    <t>102B</t>
  </si>
  <si>
    <t>Front somersault pike</t>
  </si>
  <si>
    <t>LACH</t>
  </si>
  <si>
    <t>Front somersault tuck</t>
  </si>
  <si>
    <t>103B</t>
  </si>
  <si>
    <t>Front  1 ½ somersault pike</t>
  </si>
  <si>
    <t>PIN</t>
  </si>
  <si>
    <t>103C</t>
  </si>
  <si>
    <t>Front  1 ½ somersault tuck</t>
  </si>
  <si>
    <t>104B</t>
  </si>
  <si>
    <t>Front double somersault pike</t>
  </si>
  <si>
    <t>RPRA</t>
  </si>
  <si>
    <t>104C</t>
  </si>
  <si>
    <t>Front double somersault tuck</t>
  </si>
  <si>
    <t>SENVL</t>
  </si>
  <si>
    <t>105B</t>
  </si>
  <si>
    <t>Front 2 ½ somersault pike</t>
  </si>
  <si>
    <t>SHORE</t>
  </si>
  <si>
    <t>105C</t>
  </si>
  <si>
    <t>Front 2 ½ somersault tuck</t>
  </si>
  <si>
    <t>SIDE</t>
  </si>
  <si>
    <t>106C</t>
  </si>
  <si>
    <t>Front triple somersault tuck</t>
  </si>
  <si>
    <t>VAL</t>
  </si>
  <si>
    <t>107C</t>
  </si>
  <si>
    <t>Front 3 ½ somersault tuck</t>
  </si>
  <si>
    <t>200A</t>
  </si>
  <si>
    <t>Back jump layout</t>
  </si>
  <si>
    <t>WAC</t>
  </si>
  <si>
    <t>200B</t>
  </si>
  <si>
    <t>Back jump pike</t>
  </si>
  <si>
    <t>Back jump tuck</t>
  </si>
  <si>
    <t>WSTMT</t>
  </si>
  <si>
    <t>Back dive layout</t>
  </si>
  <si>
    <t>201B</t>
  </si>
  <si>
    <t>Back dive pike</t>
  </si>
  <si>
    <t>201C</t>
  </si>
  <si>
    <t>Back dive tuck</t>
  </si>
  <si>
    <t>Back fall in</t>
  </si>
  <si>
    <t>Back somersault layout</t>
  </si>
  <si>
    <t>202B</t>
  </si>
  <si>
    <t>Back somersault pike</t>
  </si>
  <si>
    <t>Back somersault tuck</t>
  </si>
  <si>
    <t>203A</t>
  </si>
  <si>
    <t>Back 1 ½ somersault layout</t>
  </si>
  <si>
    <t>203B</t>
  </si>
  <si>
    <t>Back 1 ½ somersault pike</t>
  </si>
  <si>
    <t>203C</t>
  </si>
  <si>
    <t>Back 1 ½ somersault tuck</t>
  </si>
  <si>
    <t>204B</t>
  </si>
  <si>
    <t>Back double somersault pike</t>
  </si>
  <si>
    <t>204C</t>
  </si>
  <si>
    <t>Back double somersault tuck</t>
  </si>
  <si>
    <t>205B</t>
  </si>
  <si>
    <t>Back 2 ½ somersault pike</t>
  </si>
  <si>
    <t>205C</t>
  </si>
  <si>
    <t>Back 2 ½ somersault tuck</t>
  </si>
  <si>
    <t>301A</t>
  </si>
  <si>
    <t>Reverse dive layout</t>
  </si>
  <si>
    <t>301B</t>
  </si>
  <si>
    <t>Reverse dive pike</t>
  </si>
  <si>
    <t>301C</t>
  </si>
  <si>
    <t>Reverse dive tuck</t>
  </si>
  <si>
    <t>302A</t>
  </si>
  <si>
    <t>Reverse somersault layout</t>
  </si>
  <si>
    <t>302B</t>
  </si>
  <si>
    <t>Reverse somersault pike</t>
  </si>
  <si>
    <t>302C</t>
  </si>
  <si>
    <t>Reverse somersault tuck</t>
  </si>
  <si>
    <t>303A</t>
  </si>
  <si>
    <t>Reverse 1 ½ somersault layout</t>
  </si>
  <si>
    <t>303B</t>
  </si>
  <si>
    <t>Reverse 1 ½ somersault pike</t>
  </si>
  <si>
    <t>303C</t>
  </si>
  <si>
    <t>Reverse 1 ½ somersault tuck</t>
  </si>
  <si>
    <t>304B</t>
  </si>
  <si>
    <t>Reverse double somersault pike</t>
  </si>
  <si>
    <t>304C</t>
  </si>
  <si>
    <t>Reverse double somersault tuck</t>
  </si>
  <si>
    <t>305B</t>
  </si>
  <si>
    <t>Reverse 2 ½ somersault pike</t>
  </si>
  <si>
    <t>305C</t>
  </si>
  <si>
    <t>Reverse 2 ½ somersault tuck</t>
  </si>
  <si>
    <t>401A</t>
  </si>
  <si>
    <t>Inward dive layout</t>
  </si>
  <si>
    <t>Inward dive pike</t>
  </si>
  <si>
    <t>Inward dive tuck</t>
  </si>
  <si>
    <t>402B</t>
  </si>
  <si>
    <t>Inward somersault pike</t>
  </si>
  <si>
    <t>Inward somersault tuck</t>
  </si>
  <si>
    <t>403B</t>
  </si>
  <si>
    <t>Inward 1 ½ somersault pike</t>
  </si>
  <si>
    <t>403C</t>
  </si>
  <si>
    <t>Inward 1 ½ somersault tuck</t>
  </si>
  <si>
    <t>404C</t>
  </si>
  <si>
    <t>Inward double somersault tuck</t>
  </si>
  <si>
    <t>405B</t>
  </si>
  <si>
    <t>Inward 2 ½ somersault pike</t>
  </si>
  <si>
    <t>405C</t>
  </si>
  <si>
    <t>Inward 2 ½ somersault tuck</t>
  </si>
  <si>
    <t>Front dive ½ twist layout</t>
  </si>
  <si>
    <t>5111B</t>
  </si>
  <si>
    <t>Front dive ½ twist pike</t>
  </si>
  <si>
    <t>5111C</t>
  </si>
  <si>
    <t>Front dive ½ twist tuck</t>
  </si>
  <si>
    <t>5112A</t>
  </si>
  <si>
    <t>Front dive full twist layout</t>
  </si>
  <si>
    <t>5112B</t>
  </si>
  <si>
    <t>Front dive full twist pike</t>
  </si>
  <si>
    <t>5121A</t>
  </si>
  <si>
    <t>Front somersault ½ twist layout</t>
  </si>
  <si>
    <t>5121B</t>
  </si>
  <si>
    <t>Front somersault ½ twist pike</t>
  </si>
  <si>
    <t>5121D</t>
  </si>
  <si>
    <t>Front somersault ½ twist free</t>
  </si>
  <si>
    <t>Front somersault full twist free</t>
  </si>
  <si>
    <t>5124D</t>
  </si>
  <si>
    <t>Front somersault double twist free</t>
  </si>
  <si>
    <t>5126D</t>
  </si>
  <si>
    <t>Front somersault triple twist free</t>
  </si>
  <si>
    <t>5131B</t>
  </si>
  <si>
    <t>Front 1 ½ somersault, ½ twist pike</t>
  </si>
  <si>
    <t>5131C</t>
  </si>
  <si>
    <t>Front 1 ½ somersault, ½ twist tuck</t>
  </si>
  <si>
    <t>5132D</t>
  </si>
  <si>
    <t>Front 1 ½ somersault, full twist free</t>
  </si>
  <si>
    <t>5134D</t>
  </si>
  <si>
    <t>Front 1 ½ somersault, 2 twists free</t>
  </si>
  <si>
    <t>5136D</t>
  </si>
  <si>
    <t>Front 1 ½ somersault, 3 twists free</t>
  </si>
  <si>
    <t>5152B</t>
  </si>
  <si>
    <t>Front 2 ½ somersault, full twist pike</t>
  </si>
  <si>
    <t>5152C</t>
  </si>
  <si>
    <t>Front 2 ½ somersault, full twist tuck</t>
  </si>
  <si>
    <t>Back dive ½ twist layout</t>
  </si>
  <si>
    <t>5212A</t>
  </si>
  <si>
    <t>Back dive full twist layout</t>
  </si>
  <si>
    <t>Back somersault ½ twist free</t>
  </si>
  <si>
    <t>5222D</t>
  </si>
  <si>
    <t>Back somersault full twist free</t>
  </si>
  <si>
    <t>Back somersault 1 ½ twist free</t>
  </si>
  <si>
    <t>5225D</t>
  </si>
  <si>
    <t>Back somersault 2 ½ twist free</t>
  </si>
  <si>
    <t>5231D</t>
  </si>
  <si>
    <t>Back 1 ½ somersault ½ twist free</t>
  </si>
  <si>
    <t>5233D</t>
  </si>
  <si>
    <t>Back 1 ½ somersault 1 ½ twist free</t>
  </si>
  <si>
    <t>5235D</t>
  </si>
  <si>
    <t>Back 1 ½ somersault 2 ½ twist free</t>
  </si>
  <si>
    <t>5241D</t>
  </si>
  <si>
    <t>Back double somersault ½ twist free</t>
  </si>
  <si>
    <t>5311A</t>
  </si>
  <si>
    <t>Reverse dive ½ twist layout</t>
  </si>
  <si>
    <t>5312A</t>
  </si>
  <si>
    <t>Reverse dive full twist layout</t>
  </si>
  <si>
    <t>5321D</t>
  </si>
  <si>
    <t>Reverse somersault ½ twist free</t>
  </si>
  <si>
    <t>5322D</t>
  </si>
  <si>
    <t>Reverse somersault full twist free</t>
  </si>
  <si>
    <t>5323D</t>
  </si>
  <si>
    <t>Reverse somersault 1 ½ twist free</t>
  </si>
  <si>
    <t>5325D</t>
  </si>
  <si>
    <t>Reverse somersault 2 ½ twist free</t>
  </si>
  <si>
    <t>5331D</t>
  </si>
  <si>
    <t>Reverse 1 ½ somersault ½ twist free</t>
  </si>
  <si>
    <t>5333D</t>
  </si>
  <si>
    <t>Reverse 1 ½ somersault 1 ½ twist free</t>
  </si>
  <si>
    <t>5411A</t>
  </si>
  <si>
    <t>Inward dive ½ twist layout</t>
  </si>
  <si>
    <t>5411B</t>
  </si>
  <si>
    <t>Inward dive ½ twist pike</t>
  </si>
  <si>
    <t>5412A</t>
  </si>
  <si>
    <t>Inward dive full twist layout</t>
  </si>
  <si>
    <t>5412B</t>
  </si>
  <si>
    <t>Inward dive full twist pike</t>
  </si>
  <si>
    <t>5421B</t>
  </si>
  <si>
    <t>Inward somersault ½ twist pike</t>
  </si>
  <si>
    <t>5421C</t>
  </si>
  <si>
    <t>Inward somersault ½ twist tuck</t>
  </si>
  <si>
    <t>5422D</t>
  </si>
  <si>
    <t>Inward somersault full twist free</t>
  </si>
  <si>
    <t>5432D</t>
  </si>
  <si>
    <t>Inward 1 ½ somersault, full twist free</t>
  </si>
  <si>
    <t>5434D</t>
  </si>
  <si>
    <t>Inward 1 ½ somersault, 2 twists free</t>
  </si>
  <si>
    <t>Jackson Graham</t>
  </si>
  <si>
    <t>Dane Brodeur</t>
  </si>
  <si>
    <t>Sebastien Sevigny</t>
  </si>
  <si>
    <t>Darcy Geffroy</t>
  </si>
  <si>
    <t>Beau</t>
  </si>
  <si>
    <t>Aidan Hunziker</t>
  </si>
  <si>
    <t>Tyler Barnes</t>
  </si>
  <si>
    <t>Justin Wener</t>
  </si>
  <si>
    <t>Cedric Nelson</t>
  </si>
  <si>
    <t>Cale Robinson</t>
  </si>
  <si>
    <t>Ethan Binet</t>
  </si>
  <si>
    <t>Cooper MacDonnell</t>
  </si>
  <si>
    <t>Reid Geffroy</t>
  </si>
  <si>
    <t>Edward Derocher</t>
  </si>
  <si>
    <t>Samuel Caron Madran</t>
  </si>
  <si>
    <t>Ryan Auger</t>
  </si>
  <si>
    <t>Farbod Pahlavan</t>
  </si>
  <si>
    <t>Finley Marchand</t>
  </si>
  <si>
    <t>Zachary Sevigny</t>
  </si>
  <si>
    <t>Henrik Brun</t>
  </si>
  <si>
    <t>Liam Wilds</t>
  </si>
  <si>
    <t>Logan Myles</t>
  </si>
  <si>
    <t>Luke Auger</t>
  </si>
  <si>
    <t>Louis Dubois</t>
  </si>
  <si>
    <t>Malcolm Hillier</t>
  </si>
  <si>
    <t>Nathan Ip</t>
  </si>
  <si>
    <t>Noah Akrivos</t>
  </si>
  <si>
    <t>Oliver Sevigny</t>
  </si>
  <si>
    <t>James Wood</t>
  </si>
  <si>
    <t>Brayden Dunwoodie</t>
  </si>
  <si>
    <t>Ayden Jacobs</t>
  </si>
  <si>
    <t>Jayson Ip</t>
  </si>
  <si>
    <t>Elijah Palov</t>
  </si>
  <si>
    <t>Vaughn Frederick</t>
  </si>
  <si>
    <t xml:space="preserve">Zachary Johnson </t>
  </si>
  <si>
    <t>Teagan Brodeur</t>
  </si>
  <si>
    <t>Wyatt Collins</t>
  </si>
  <si>
    <t xml:space="preserve">Carter James </t>
  </si>
  <si>
    <t>Liam Elliot</t>
  </si>
  <si>
    <t>Oliver Hennon</t>
  </si>
  <si>
    <t>Noah Nelson</t>
  </si>
  <si>
    <t>5221d</t>
  </si>
  <si>
    <t>104c</t>
  </si>
  <si>
    <t>Luke Myles</t>
  </si>
  <si>
    <t>Laurent Terreault</t>
  </si>
  <si>
    <t>Diego Garcia Acevedo</t>
  </si>
  <si>
    <t>Edouard de Salles Laterriere</t>
  </si>
  <si>
    <t>Anthony Mier</t>
  </si>
  <si>
    <t>Nicolas Charland</t>
  </si>
  <si>
    <t>Maurizio Mercuri</t>
  </si>
  <si>
    <t xml:space="preserve">Evan Bibby </t>
  </si>
  <si>
    <t>Marc Botto</t>
  </si>
  <si>
    <t>Deen Akrivos</t>
  </si>
  <si>
    <t xml:space="preserve">Anthony Falcone </t>
  </si>
  <si>
    <t>Alex Odoerfer</t>
  </si>
  <si>
    <t>Kris Boudreau</t>
  </si>
  <si>
    <t>Raf Almeida</t>
  </si>
  <si>
    <t>Jeff Patrouille</t>
  </si>
  <si>
    <t>Nicky Brodbeck</t>
  </si>
  <si>
    <t>Kai Brodeur</t>
  </si>
  <si>
    <t>Phoenix Marquis-Bilquard</t>
  </si>
  <si>
    <t>Juan Cruz</t>
  </si>
  <si>
    <t>Jonathan Munger</t>
  </si>
  <si>
    <t>5222d</t>
  </si>
  <si>
    <t>5112a</t>
  </si>
  <si>
    <t>302c</t>
  </si>
  <si>
    <t>5122d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</si>
</sst>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/d/yyyy"/>
    <numFmt numFmtId="165" formatCode="yyyy/mm/dd;@"/>
    <numFmt numFmtId="166" formatCode="0;\-0;;@"/>
    <numFmt numFmtId="167" formatCode="0.00;\-0.00;;@"/>
    <numFmt numFmtId="168" formatCode="0.0"/>
  </numFmts>
  <fonts count="5" x14ac:knownFonts="1">
    <font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69696"/>
      </patternFill>
    </fill>
    <fill>
      <patternFill patternType="solid">
        <fgColor rgb="FFFBAFED"/>
        <bgColor rgb="FFCC99FF"/>
      </patternFill>
    </fill>
    <fill>
      <patternFill patternType="solid">
        <fgColor rgb="FFB4C7E7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2" fontId="0" fillId="3" borderId="0" xfId="0" applyNumberForma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2" fontId="0" fillId="4" borderId="0" xfId="0" applyNumberForma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165" fontId="0" fillId="5" borderId="4" xfId="0" applyNumberFormat="1" applyFill="1" applyBorder="1" applyAlignment="1" applyProtection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2" fontId="0" fillId="5" borderId="0" xfId="0" applyNumberFormat="1" applyFill="1" applyBorder="1" applyAlignment="1" applyProtection="1">
      <alignment horizontal="right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5" borderId="0" xfId="0" applyFont="1" applyFill="1" applyBorder="1" applyAlignment="1" applyProtection="1">
      <alignment horizontal="left"/>
      <protection locked="0"/>
    </xf>
    <xf numFmtId="165" fontId="0" fillId="5" borderId="6" xfId="0" applyNumberFormat="1" applyFill="1" applyBorder="1" applyAlignment="1" applyProtection="1">
      <alignment horizontal="center"/>
    </xf>
    <xf numFmtId="0" fontId="0" fillId="5" borderId="9" xfId="0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9" xfId="0" applyFill="1" applyBorder="1" applyProtection="1">
      <protection locked="0"/>
    </xf>
    <xf numFmtId="2" fontId="0" fillId="5" borderId="9" xfId="0" applyNumberFormat="1" applyFill="1" applyBorder="1" applyAlignment="1" applyProtection="1">
      <alignment horizontal="right"/>
      <protection locked="0"/>
    </xf>
    <xf numFmtId="0" fontId="0" fillId="5" borderId="10" xfId="0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Protection="1"/>
    <xf numFmtId="0" fontId="0" fillId="3" borderId="0" xfId="0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" xfId="0" applyFill="1" applyBorder="1" applyProtection="1"/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1" fillId="0" borderId="12" xfId="0" applyNumberFormat="1" applyFont="1" applyBorder="1" applyAlignment="1" applyProtection="1">
      <alignment horizontal="center" vertical="center"/>
    </xf>
    <xf numFmtId="166" fontId="2" fillId="0" borderId="13" xfId="0" applyNumberFormat="1" applyFont="1" applyBorder="1" applyAlignment="1" applyProtection="1">
      <alignment horizontal="center" vertical="center" wrapText="1"/>
    </xf>
    <xf numFmtId="166" fontId="1" fillId="0" borderId="13" xfId="0" applyNumberFormat="1" applyFont="1" applyBorder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center" vertical="center" wrapText="1"/>
    </xf>
    <xf numFmtId="166" fontId="0" fillId="0" borderId="15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Protection="1"/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</xf>
    <xf numFmtId="166" fontId="0" fillId="0" borderId="0" xfId="0" applyNumberFormat="1" applyProtection="1"/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0" fontId="0" fillId="0" borderId="18" xfId="0" applyBorder="1" applyProtection="1"/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" xfId="0" applyFill="1" applyBorder="1" applyProtection="1"/>
    <xf numFmtId="0" fontId="0" fillId="4" borderId="0" xfId="0" applyFill="1" applyAlignment="1" applyProtection="1">
      <alignment horizontal="center"/>
      <protection locked="0"/>
    </xf>
    <xf numFmtId="168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168" fontId="4" fillId="0" borderId="19" xfId="0" applyNumberFormat="1" applyFont="1" applyBorder="1" applyAlignment="1">
      <alignment vertical="center" wrapText="1"/>
    </xf>
    <xf numFmtId="0" fontId="0" fillId="0" borderId="1" xfId="0" applyFont="1" applyBorder="1" applyAlignment="1" applyProtection="1">
      <protection locked="0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6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15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BAFED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18" zoomScaleNormal="100" workbookViewId="0">
      <selection activeCell="D10" sqref="D10"/>
    </sheetView>
  </sheetViews>
  <sheetFormatPr defaultRowHeight="15" x14ac:dyDescent="0.25"/>
  <cols>
    <col min="1" max="1" width="15.7109375" style="1" customWidth="1"/>
    <col min="2" max="3" width="15.28515625" style="1" customWidth="1"/>
    <col min="4" max="4" width="10.28515625" style="1" customWidth="1"/>
    <col min="5" max="5" width="26" customWidth="1"/>
    <col min="6" max="6" width="12.5703125" style="1" customWidth="1"/>
    <col min="7" max="7" width="8.7109375" customWidth="1"/>
    <col min="8" max="8" width="6.28515625" style="1" customWidth="1"/>
    <col min="9" max="1025" width="8.7109375" customWidth="1"/>
  </cols>
  <sheetData>
    <row r="1" spans="1:8" ht="14.45" customHeight="1" x14ac:dyDescent="0.25"/>
    <row r="2" spans="1:8" x14ac:dyDescent="0.25">
      <c r="A2" s="2" t="s">
        <v>0</v>
      </c>
      <c r="B2" s="3">
        <v>29</v>
      </c>
      <c r="C2" s="2" t="s">
        <v>1</v>
      </c>
      <c r="D2" s="3">
        <v>7</v>
      </c>
      <c r="E2" s="2" t="s">
        <v>2</v>
      </c>
      <c r="F2" s="3">
        <v>2019</v>
      </c>
    </row>
    <row r="3" spans="1:8" x14ac:dyDescent="0.25">
      <c r="A3" s="2"/>
      <c r="E3" s="2"/>
    </row>
    <row r="4" spans="1:8" x14ac:dyDescent="0.25">
      <c r="A4" s="2" t="s">
        <v>3</v>
      </c>
      <c r="B4" s="4" t="s">
        <v>4</v>
      </c>
      <c r="D4" s="2" t="s">
        <v>5</v>
      </c>
      <c r="E4" s="94" t="s">
        <v>6</v>
      </c>
      <c r="F4" s="94"/>
      <c r="G4" s="5"/>
      <c r="H4" s="5"/>
    </row>
    <row r="5" spans="1:8" x14ac:dyDescent="0.25">
      <c r="A5" s="2" t="s">
        <v>7</v>
      </c>
      <c r="B5" s="6" t="s">
        <v>8</v>
      </c>
      <c r="C5" s="5"/>
      <c r="D5" s="2" t="s">
        <v>7</v>
      </c>
      <c r="E5" s="94" t="s">
        <v>9</v>
      </c>
      <c r="F5" s="94"/>
      <c r="G5" s="5"/>
      <c r="H5" s="5"/>
    </row>
    <row r="7" spans="1:8" ht="21.75" customHeight="1" x14ac:dyDescent="0.25">
      <c r="A7" s="95" t="s">
        <v>10</v>
      </c>
      <c r="B7" s="95"/>
      <c r="C7" s="95"/>
    </row>
    <row r="8" spans="1:8" x14ac:dyDescent="0.25">
      <c r="A8" s="7"/>
      <c r="B8" s="8" t="str">
        <f>B4</f>
        <v>Side</v>
      </c>
      <c r="C8" s="9" t="str">
        <f>B5</f>
        <v>ALPS</v>
      </c>
    </row>
    <row r="9" spans="1:8" x14ac:dyDescent="0.25">
      <c r="A9" s="10" t="s">
        <v>11</v>
      </c>
      <c r="B9" s="11">
        <f>SUM('-8G'!R76:R99)</f>
        <v>12</v>
      </c>
      <c r="C9" s="12">
        <f>SUM('-8G'!S76:S99)</f>
        <v>0</v>
      </c>
    </row>
    <row r="10" spans="1:8" x14ac:dyDescent="0.25">
      <c r="A10" s="10" t="s">
        <v>12</v>
      </c>
      <c r="B10" s="11">
        <f>SUM('-8B'!R76:R99)</f>
        <v>0</v>
      </c>
      <c r="C10" s="12">
        <f>SUM('-8B'!S76:S99)</f>
        <v>0</v>
      </c>
    </row>
    <row r="11" spans="1:8" x14ac:dyDescent="0.25">
      <c r="A11" s="10" t="s">
        <v>13</v>
      </c>
      <c r="B11" s="11">
        <f>SUM('9-10G'!R76:R99)</f>
        <v>11</v>
      </c>
      <c r="C11" s="12">
        <f>SUM('9-10G'!S76:S99)</f>
        <v>0</v>
      </c>
    </row>
    <row r="12" spans="1:8" x14ac:dyDescent="0.25">
      <c r="A12" s="10" t="s">
        <v>14</v>
      </c>
      <c r="B12" s="11">
        <f>SUM('9-10B'!R76:R99)</f>
        <v>0</v>
      </c>
      <c r="C12" s="12">
        <f>SUM('9-10B'!S76:S99)</f>
        <v>0</v>
      </c>
    </row>
    <row r="13" spans="1:8" x14ac:dyDescent="0.25">
      <c r="A13" s="10" t="s">
        <v>15</v>
      </c>
      <c r="B13" s="11">
        <f>SUM('11-12G'!R100:R123)</f>
        <v>16</v>
      </c>
      <c r="C13" s="12">
        <f>SUM('11-12G'!S100:S123)</f>
        <v>0</v>
      </c>
      <c r="F13" s="13"/>
    </row>
    <row r="14" spans="1:8" x14ac:dyDescent="0.25">
      <c r="A14" s="10" t="s">
        <v>16</v>
      </c>
      <c r="B14" s="11">
        <f>SUM('11-12B'!R100:R123)</f>
        <v>30</v>
      </c>
      <c r="C14" s="12">
        <f>SUM('11-12B'!S100:S123)</f>
        <v>0</v>
      </c>
    </row>
    <row r="15" spans="1:8" x14ac:dyDescent="0.25">
      <c r="A15" s="10" t="s">
        <v>17</v>
      </c>
      <c r="B15" s="11">
        <f>SUM('13-14G'!R100:R123)</f>
        <v>0</v>
      </c>
      <c r="C15" s="12">
        <f>SUM('13-14G'!S100:S123)</f>
        <v>0</v>
      </c>
    </row>
    <row r="16" spans="1:8" x14ac:dyDescent="0.25">
      <c r="A16" s="10" t="s">
        <v>18</v>
      </c>
      <c r="B16" s="11">
        <f>SUM('13-14B'!R100:R123)</f>
        <v>12</v>
      </c>
      <c r="C16" s="12">
        <f>SUM('13-14B'!S100:S123)</f>
        <v>0</v>
      </c>
    </row>
    <row r="17" spans="1:8" x14ac:dyDescent="0.25">
      <c r="A17" s="10" t="s">
        <v>19</v>
      </c>
      <c r="B17" s="11">
        <f>SUM('15+G'!R124:R147)</f>
        <v>6</v>
      </c>
      <c r="C17" s="12">
        <f>SUM('15+G'!S124:S147)</f>
        <v>0</v>
      </c>
    </row>
    <row r="18" spans="1:8" x14ac:dyDescent="0.25">
      <c r="A18" s="10" t="s">
        <v>20</v>
      </c>
      <c r="B18" s="11">
        <f>SUM('15+B'!R124:R147)</f>
        <v>3</v>
      </c>
      <c r="C18" s="12">
        <f>SUM('15+B'!S124:S147)</f>
        <v>0</v>
      </c>
    </row>
    <row r="19" spans="1:8" x14ac:dyDescent="0.25">
      <c r="A19" s="14" t="s">
        <v>21</v>
      </c>
      <c r="B19" s="15">
        <f>SUM(B9:B18)</f>
        <v>90</v>
      </c>
      <c r="C19" s="16">
        <f>SUM(C9:C18)</f>
        <v>0</v>
      </c>
    </row>
    <row r="20" spans="1:8" ht="16.5" customHeight="1" x14ac:dyDescent="0.25"/>
    <row r="21" spans="1:8" ht="21" customHeight="1" x14ac:dyDescent="0.25">
      <c r="A21" s="96" t="s">
        <v>22</v>
      </c>
      <c r="B21" s="96"/>
      <c r="C21" s="96"/>
      <c r="D21" s="96"/>
      <c r="E21" s="96"/>
      <c r="F21" s="96"/>
      <c r="G21" s="96"/>
      <c r="H21" s="96"/>
    </row>
    <row r="22" spans="1:8" ht="24" customHeight="1" x14ac:dyDescent="0.25">
      <c r="A22" s="17" t="s">
        <v>23</v>
      </c>
      <c r="B22" s="18" t="s">
        <v>24</v>
      </c>
      <c r="C22" s="18" t="s">
        <v>25</v>
      </c>
      <c r="D22" s="18" t="s">
        <v>26</v>
      </c>
      <c r="E22" s="18" t="s">
        <v>27</v>
      </c>
      <c r="F22" s="18" t="s">
        <v>28</v>
      </c>
      <c r="G22" s="18" t="s">
        <v>29</v>
      </c>
      <c r="H22" s="19" t="s">
        <v>30</v>
      </c>
    </row>
    <row r="23" spans="1:8" x14ac:dyDescent="0.25">
      <c r="A23" s="20">
        <f t="shared" ref="A23:A64" si="0">DATE($F$2,$D$2,$B$2)</f>
        <v>43675</v>
      </c>
      <c r="B23" s="21" t="str">
        <f t="shared" ref="B23:B64" si="1">$B$5&amp;" at "&amp;$B$4</f>
        <v>ALPS at Side</v>
      </c>
      <c r="C23" s="21" t="s">
        <v>11</v>
      </c>
      <c r="D23" s="21">
        <f>'-8G'!C$76</f>
        <v>1</v>
      </c>
      <c r="E23" s="22" t="str">
        <f>'-8G'!F76&amp;IF('-8G'!H76&lt;&gt;""," (EXHIB)","")</f>
        <v>Madeline Van Sickle</v>
      </c>
      <c r="F23" s="21" t="str">
        <f>'-8G'!G$76</f>
        <v>PVPC</v>
      </c>
      <c r="G23" s="23">
        <f>'-8G'!E$76</f>
        <v>71.150022000000007</v>
      </c>
      <c r="H23" s="24" t="str">
        <f>'-8G'!I$76</f>
        <v/>
      </c>
    </row>
    <row r="24" spans="1:8" x14ac:dyDescent="0.25">
      <c r="A24" s="20">
        <f t="shared" si="0"/>
        <v>43675</v>
      </c>
      <c r="B24" s="21" t="str">
        <f t="shared" si="1"/>
        <v>ALPS at Side</v>
      </c>
      <c r="C24" s="21" t="s">
        <v>11</v>
      </c>
      <c r="D24" s="21">
        <f>'-8G'!C$77</f>
        <v>2</v>
      </c>
      <c r="E24" s="22" t="str">
        <f>'-8G'!F77&amp;IF('-8G'!H77&lt;&gt;""," (EXHIB)","")</f>
        <v>Autumn Davidson</v>
      </c>
      <c r="F24" s="21" t="str">
        <f>'-8G'!G$77</f>
        <v>Val</v>
      </c>
      <c r="G24" s="23">
        <f>'-8G'!E$77</f>
        <v>53.400002999999998</v>
      </c>
      <c r="H24" s="24" t="str">
        <f>'-8G'!I$77</f>
        <v/>
      </c>
    </row>
    <row r="25" spans="1:8" x14ac:dyDescent="0.25">
      <c r="A25" s="20">
        <f t="shared" si="0"/>
        <v>43675</v>
      </c>
      <c r="B25" s="21" t="str">
        <f t="shared" si="1"/>
        <v>ALPS at Side</v>
      </c>
      <c r="C25" s="21" t="s">
        <v>11</v>
      </c>
      <c r="D25" s="21">
        <f>'-8G'!C$78</f>
        <v>3</v>
      </c>
      <c r="E25" s="22" t="str">
        <f>'-8G'!F78&amp;IF('-8G'!H78&lt;&gt;""," (EXHIB)","")</f>
        <v>Brynn Anderson</v>
      </c>
      <c r="F25" s="21" t="str">
        <f>'-8G'!G$78</f>
        <v>Side</v>
      </c>
      <c r="G25" s="23">
        <f>'-8G'!E$78</f>
        <v>49.750006999999997</v>
      </c>
      <c r="H25" s="24" t="str">
        <f>'-8G'!I$78</f>
        <v/>
      </c>
    </row>
    <row r="26" spans="1:8" x14ac:dyDescent="0.25">
      <c r="A26" s="25">
        <f t="shared" si="0"/>
        <v>43675</v>
      </c>
      <c r="B26" s="26" t="str">
        <f t="shared" si="1"/>
        <v>ALPS at Side</v>
      </c>
      <c r="C26" s="26" t="s">
        <v>12</v>
      </c>
      <c r="D26" s="26">
        <f>'-8B'!C$76</f>
        <v>1</v>
      </c>
      <c r="E26" s="27" t="str">
        <f>'-8B'!F76&amp;IF('-8B'!H76&lt;&gt;""," (EXHIB)","")</f>
        <v>Cedric Nelson</v>
      </c>
      <c r="F26" s="26" t="str">
        <f>'-8B'!G$76</f>
        <v>HCP</v>
      </c>
      <c r="G26" s="28">
        <f>'-8B'!E$76</f>
        <v>73.850003999999998</v>
      </c>
      <c r="H26" s="29" t="str">
        <f>'-8B'!I$76</f>
        <v/>
      </c>
    </row>
    <row r="27" spans="1:8" x14ac:dyDescent="0.25">
      <c r="A27" s="25">
        <f t="shared" si="0"/>
        <v>43675</v>
      </c>
      <c r="B27" s="26" t="str">
        <f t="shared" si="1"/>
        <v>ALPS at Side</v>
      </c>
      <c r="C27" s="26" t="s">
        <v>12</v>
      </c>
      <c r="D27" s="26">
        <f>'-8B'!C$77</f>
        <v>2</v>
      </c>
      <c r="E27" s="27" t="str">
        <f>'-8B'!F77&amp;IF('-8B'!H77&lt;&gt;""," (EXHIB)","")</f>
        <v>Aidan Hunziker</v>
      </c>
      <c r="F27" s="26" t="str">
        <f>'-8B'!G$77</f>
        <v>BHILL</v>
      </c>
      <c r="G27" s="28">
        <f>'-8B'!E$77</f>
        <v>60.000000999999997</v>
      </c>
      <c r="H27" s="29" t="str">
        <f>'-8B'!I$77</f>
        <v/>
      </c>
    </row>
    <row r="28" spans="1:8" x14ac:dyDescent="0.25">
      <c r="A28" s="25">
        <f t="shared" si="0"/>
        <v>43675</v>
      </c>
      <c r="B28" s="26" t="str">
        <f t="shared" si="1"/>
        <v>ALPS at Side</v>
      </c>
      <c r="C28" s="26" t="s">
        <v>12</v>
      </c>
      <c r="D28" s="26">
        <f>'-8B'!C$78</f>
        <v>3</v>
      </c>
      <c r="E28" s="27" t="str">
        <f>'-8B'!F78&amp;IF('-8B'!H78&lt;&gt;""," (EXHIB)","")</f>
        <v>Noah Akrivos</v>
      </c>
      <c r="F28" s="26" t="str">
        <f>'-8B'!G$78</f>
        <v>WLRC</v>
      </c>
      <c r="G28" s="28">
        <f>'-8B'!E$78</f>
        <v>54.200023000000002</v>
      </c>
      <c r="H28" s="29" t="str">
        <f>'-8B'!I$78</f>
        <v/>
      </c>
    </row>
    <row r="29" spans="1:8" x14ac:dyDescent="0.25">
      <c r="A29" s="20">
        <f t="shared" si="0"/>
        <v>43675</v>
      </c>
      <c r="B29" s="21" t="str">
        <f t="shared" si="1"/>
        <v>ALPS at Side</v>
      </c>
      <c r="C29" s="21" t="s">
        <v>13</v>
      </c>
      <c r="D29" s="21">
        <f>'9-10G'!C$76</f>
        <v>1</v>
      </c>
      <c r="E29" s="22" t="str">
        <f>'9-10G'!F76&amp;IF('9-10G'!H76&lt;&gt;""," (EXHIB)","")</f>
        <v>Sarah Nelson</v>
      </c>
      <c r="F29" s="21" t="str">
        <f>'9-10G'!G$76</f>
        <v>HCP</v>
      </c>
      <c r="G29" s="23">
        <f>'9-10G'!E$76</f>
        <v>81.800021000000001</v>
      </c>
      <c r="H29" s="24" t="str">
        <f>'9-10G'!I$76</f>
        <v/>
      </c>
    </row>
    <row r="30" spans="1:8" x14ac:dyDescent="0.25">
      <c r="A30" s="20">
        <f t="shared" si="0"/>
        <v>43675</v>
      </c>
      <c r="B30" s="21" t="str">
        <f t="shared" si="1"/>
        <v>ALPS at Side</v>
      </c>
      <c r="C30" s="21" t="s">
        <v>13</v>
      </c>
      <c r="D30" s="21">
        <f>'9-10G'!C$77</f>
        <v>2</v>
      </c>
      <c r="E30" s="22" t="str">
        <f>'9-10G'!F77&amp;IF('9-10G'!H77&lt;&gt;""," (EXHIB)","")</f>
        <v>Jadyn Wener</v>
      </c>
      <c r="F30" s="21" t="str">
        <f>'9-10G'!G$77</f>
        <v>MWAC</v>
      </c>
      <c r="G30" s="23">
        <f>'9-10G'!E$77</f>
        <v>75.900008</v>
      </c>
      <c r="H30" s="24" t="str">
        <f>'9-10G'!I$77</f>
        <v/>
      </c>
    </row>
    <row r="31" spans="1:8" x14ac:dyDescent="0.25">
      <c r="A31" s="20">
        <f t="shared" si="0"/>
        <v>43675</v>
      </c>
      <c r="B31" s="21" t="str">
        <f t="shared" si="1"/>
        <v>ALPS at Side</v>
      </c>
      <c r="C31" s="21" t="s">
        <v>13</v>
      </c>
      <c r="D31" s="21">
        <f>'9-10G'!C$78</f>
        <v>3</v>
      </c>
      <c r="E31" s="22" t="str">
        <f>'9-10G'!F78&amp;IF('9-10G'!H78&lt;&gt;""," (EXHIB)","")</f>
        <v>Julia Preda</v>
      </c>
      <c r="F31" s="21" t="str">
        <f>'9-10G'!G$78</f>
        <v>Cedar</v>
      </c>
      <c r="G31" s="23">
        <f>'9-10G'!E$78</f>
        <v>74.350009999999997</v>
      </c>
      <c r="H31" s="24" t="str">
        <f>'9-10G'!I$78</f>
        <v/>
      </c>
    </row>
    <row r="32" spans="1:8" x14ac:dyDescent="0.25">
      <c r="A32" s="25">
        <f t="shared" si="0"/>
        <v>43675</v>
      </c>
      <c r="B32" s="26" t="str">
        <f t="shared" si="1"/>
        <v>ALPS at Side</v>
      </c>
      <c r="C32" s="26" t="s">
        <v>14</v>
      </c>
      <c r="D32" s="26">
        <f>'9-10B'!C76</f>
        <v>1</v>
      </c>
      <c r="E32" s="27" t="str">
        <f>'9-10B'!F76&amp;IF('9-10B'!H76&lt;&gt;""," (EXHIB)","")</f>
        <v>Darcy Geffroy</v>
      </c>
      <c r="F32" s="26" t="str">
        <f>'9-10B'!G76</f>
        <v>Val</v>
      </c>
      <c r="G32" s="28">
        <f>'9-10B'!E76</f>
        <v>55.800007999999998</v>
      </c>
      <c r="H32" s="29" t="str">
        <f>'9-10B'!I76</f>
        <v/>
      </c>
    </row>
    <row r="33" spans="1:8" x14ac:dyDescent="0.25">
      <c r="A33" s="25">
        <f t="shared" si="0"/>
        <v>43675</v>
      </c>
      <c r="B33" s="26" t="str">
        <f t="shared" si="1"/>
        <v>ALPS at Side</v>
      </c>
      <c r="C33" s="26" t="s">
        <v>14</v>
      </c>
      <c r="D33" s="26">
        <f>'9-10B'!C77</f>
        <v>2</v>
      </c>
      <c r="E33" s="27" t="str">
        <f>'9-10B'!F77&amp;IF('9-10B'!H77&lt;&gt;""," (EXHIB)","")</f>
        <v>Dane Brodeur</v>
      </c>
      <c r="F33" s="26" t="str">
        <f>'9-10B'!G77</f>
        <v>Val</v>
      </c>
      <c r="G33" s="28">
        <f>'9-10B'!E77</f>
        <v>50.950005000000004</v>
      </c>
      <c r="H33" s="29" t="str">
        <f>'9-10B'!I77</f>
        <v/>
      </c>
    </row>
    <row r="34" spans="1:8" x14ac:dyDescent="0.25">
      <c r="A34" s="25">
        <f t="shared" si="0"/>
        <v>43675</v>
      </c>
      <c r="B34" s="26" t="str">
        <f t="shared" si="1"/>
        <v>ALPS at Side</v>
      </c>
      <c r="C34" s="26" t="s">
        <v>14</v>
      </c>
      <c r="D34" s="26">
        <f>'9-10B'!C78</f>
        <v>3</v>
      </c>
      <c r="E34" s="27" t="str">
        <f>'9-10B'!F78&amp;IF('9-10B'!H78&lt;&gt;""," (EXHIB)","")</f>
        <v>Jackson Graham</v>
      </c>
      <c r="F34" s="26" t="str">
        <f>'9-10B'!G78</f>
        <v>Cedar</v>
      </c>
      <c r="G34" s="28">
        <f>'9-10B'!E78</f>
        <v>49.650001000000003</v>
      </c>
      <c r="H34" s="29" t="str">
        <f>'9-10B'!I78</f>
        <v/>
      </c>
    </row>
    <row r="35" spans="1:8" x14ac:dyDescent="0.25">
      <c r="A35" s="20">
        <f t="shared" si="0"/>
        <v>43675</v>
      </c>
      <c r="B35" s="21" t="str">
        <f t="shared" si="1"/>
        <v>ALPS at Side</v>
      </c>
      <c r="C35" s="21" t="s">
        <v>15</v>
      </c>
      <c r="D35" s="21">
        <f>'11-12G'!C100</f>
        <v>1</v>
      </c>
      <c r="E35" s="22" t="str">
        <f>'11-12G'!F100&amp;IF('11-12G'!H100&lt;&gt;""," (EXHIB)","")</f>
        <v>Mackenzie Patrouille</v>
      </c>
      <c r="F35" s="21" t="str">
        <f>'11-12G'!G100</f>
        <v>PVPC</v>
      </c>
      <c r="G35" s="23">
        <f>'11-12G'!E100</f>
        <v>107.85001699999999</v>
      </c>
      <c r="H35" s="24" t="str">
        <f>'11-12G'!I100</f>
        <v/>
      </c>
    </row>
    <row r="36" spans="1:8" x14ac:dyDescent="0.25">
      <c r="A36" s="20">
        <f t="shared" si="0"/>
        <v>43675</v>
      </c>
      <c r="B36" s="21" t="str">
        <f t="shared" si="1"/>
        <v>ALPS at Side</v>
      </c>
      <c r="C36" s="21" t="s">
        <v>15</v>
      </c>
      <c r="D36" s="21">
        <f>'11-12G'!C101</f>
        <v>2</v>
      </c>
      <c r="E36" s="22" t="str">
        <f>'11-12G'!F101&amp;IF('11-12G'!H101&lt;&gt;""," (EXHIB)","")</f>
        <v>Annabelle Hillier</v>
      </c>
      <c r="F36" s="21" t="str">
        <f>'11-12G'!G101</f>
        <v>Cedar</v>
      </c>
      <c r="G36" s="23">
        <f>'11-12G'!E101</f>
        <v>106.850003</v>
      </c>
      <c r="H36" s="24" t="str">
        <f>'11-12G'!I101</f>
        <v/>
      </c>
    </row>
    <row r="37" spans="1:8" x14ac:dyDescent="0.25">
      <c r="A37" s="20">
        <f t="shared" si="0"/>
        <v>43675</v>
      </c>
      <c r="B37" s="21" t="str">
        <f t="shared" si="1"/>
        <v>ALPS at Side</v>
      </c>
      <c r="C37" s="21" t="s">
        <v>15</v>
      </c>
      <c r="D37" s="21">
        <f>'11-12G'!C102</f>
        <v>3</v>
      </c>
      <c r="E37" s="22" t="str">
        <f>'11-12G'!F102&amp;IF('11-12G'!H102&lt;&gt;""," (EXHIB)","")</f>
        <v>Lianne Discepola</v>
      </c>
      <c r="F37" s="21" t="str">
        <f>'11-12G'!G102</f>
        <v>Cedar</v>
      </c>
      <c r="G37" s="23">
        <f>'11-12G'!E102</f>
        <v>105.95001299999998</v>
      </c>
      <c r="H37" s="24" t="str">
        <f>'11-12G'!I102</f>
        <v/>
      </c>
    </row>
    <row r="38" spans="1:8" x14ac:dyDescent="0.25">
      <c r="A38" s="25">
        <f t="shared" si="0"/>
        <v>43675</v>
      </c>
      <c r="B38" s="26" t="str">
        <f t="shared" si="1"/>
        <v>ALPS at Side</v>
      </c>
      <c r="C38" s="26" t="s">
        <v>16</v>
      </c>
      <c r="D38" s="26">
        <f>'11-12B'!C100</f>
        <v>1</v>
      </c>
      <c r="E38" s="27" t="str">
        <f>'11-12B'!F100&amp;IF('11-12B'!H100&lt;&gt;""," (EXHIB)","")</f>
        <v>Wyatt Collins</v>
      </c>
      <c r="F38" s="26" t="str">
        <f>'11-12B'!G100</f>
        <v>Side</v>
      </c>
      <c r="G38" s="28">
        <f>'11-12B'!E100</f>
        <v>136.80001200000001</v>
      </c>
      <c r="H38" s="29" t="str">
        <f>'11-12B'!I100</f>
        <v/>
      </c>
    </row>
    <row r="39" spans="1:8" x14ac:dyDescent="0.25">
      <c r="A39" s="25">
        <f t="shared" si="0"/>
        <v>43675</v>
      </c>
      <c r="B39" s="26" t="str">
        <f t="shared" si="1"/>
        <v>ALPS at Side</v>
      </c>
      <c r="C39" s="26" t="s">
        <v>16</v>
      </c>
      <c r="D39" s="26">
        <f>'11-12B'!C101</f>
        <v>2</v>
      </c>
      <c r="E39" s="27" t="str">
        <f>'11-12B'!F101&amp;IF('11-12B'!H101&lt;&gt;""," (EXHIB)","")</f>
        <v>Elijah Palov</v>
      </c>
      <c r="F39" s="26" t="str">
        <f>'11-12B'!G101</f>
        <v>Side</v>
      </c>
      <c r="G39" s="28">
        <f>'11-12B'!E101</f>
        <v>117.400007</v>
      </c>
      <c r="H39" s="29" t="str">
        <f>'11-12B'!I101</f>
        <v/>
      </c>
    </row>
    <row r="40" spans="1:8" x14ac:dyDescent="0.25">
      <c r="A40" s="25">
        <f t="shared" si="0"/>
        <v>43675</v>
      </c>
      <c r="B40" s="26" t="str">
        <f t="shared" si="1"/>
        <v>ALPS at Side</v>
      </c>
      <c r="C40" s="26" t="s">
        <v>16</v>
      </c>
      <c r="D40" s="26">
        <f>'11-12B'!C102</f>
        <v>3</v>
      </c>
      <c r="E40" s="27" t="str">
        <f>'11-12B'!F102&amp;IF('11-12B'!H102&lt;&gt;""," (EXHIB)","")</f>
        <v>Noah Nelson</v>
      </c>
      <c r="F40" s="26" t="str">
        <f>'11-12B'!G102</f>
        <v>HCP</v>
      </c>
      <c r="G40" s="28">
        <f>'11-12B'!E102</f>
        <v>97.650016000000008</v>
      </c>
      <c r="H40" s="29" t="str">
        <f>'11-12B'!I102</f>
        <v/>
      </c>
    </row>
    <row r="41" spans="1:8" x14ac:dyDescent="0.25">
      <c r="A41" s="20">
        <f t="shared" si="0"/>
        <v>43675</v>
      </c>
      <c r="B41" s="21" t="str">
        <f t="shared" si="1"/>
        <v>ALPS at Side</v>
      </c>
      <c r="C41" s="21" t="s">
        <v>17</v>
      </c>
      <c r="D41" s="21">
        <f>'13-14G'!C100</f>
        <v>1</v>
      </c>
      <c r="E41" s="22" t="str">
        <f>'13-14G'!F100&amp;IF('13-14G'!H100&lt;&gt;""," (EXHIB)","")</f>
        <v>Zoe Morinville</v>
      </c>
      <c r="F41" s="21" t="str">
        <f>'13-14G'!G100</f>
        <v>Cedar</v>
      </c>
      <c r="G41" s="23">
        <f>'13-14G'!E100</f>
        <v>134.05000200000001</v>
      </c>
      <c r="H41" s="24" t="str">
        <f>'13-14G'!I100</f>
        <v/>
      </c>
    </row>
    <row r="42" spans="1:8" x14ac:dyDescent="0.25">
      <c r="A42" s="20">
        <f t="shared" si="0"/>
        <v>43675</v>
      </c>
      <c r="B42" s="21" t="str">
        <f t="shared" si="1"/>
        <v>ALPS at Side</v>
      </c>
      <c r="C42" s="21" t="s">
        <v>17</v>
      </c>
      <c r="D42" s="21">
        <f>'13-14G'!C101</f>
        <v>2</v>
      </c>
      <c r="E42" s="22" t="str">
        <f>'13-14G'!F101&amp;IF('13-14G'!H101&lt;&gt;""," (EXHIB)","")</f>
        <v>Katya Stogornyuk</v>
      </c>
      <c r="F42" s="21" t="str">
        <f>'13-14G'!G101</f>
        <v>Cedar</v>
      </c>
      <c r="G42" s="23">
        <f>'13-14G'!E101</f>
        <v>114.850009</v>
      </c>
      <c r="H42" s="24" t="str">
        <f>'13-14G'!I101</f>
        <v/>
      </c>
    </row>
    <row r="43" spans="1:8" x14ac:dyDescent="0.25">
      <c r="A43" s="20">
        <f t="shared" si="0"/>
        <v>43675</v>
      </c>
      <c r="B43" s="21" t="str">
        <f t="shared" si="1"/>
        <v>ALPS at Side</v>
      </c>
      <c r="C43" s="21" t="s">
        <v>17</v>
      </c>
      <c r="D43" s="21">
        <f>'13-14G'!C102</f>
        <v>3</v>
      </c>
      <c r="E43" s="22" t="str">
        <f>'13-14G'!F102&amp;IF('13-14G'!H102&lt;&gt;""," (EXHIB)","")</f>
        <v>Zoe Nelson</v>
      </c>
      <c r="F43" s="21" t="str">
        <f>'13-14G'!G102</f>
        <v>HCP</v>
      </c>
      <c r="G43" s="23">
        <f>'13-14G'!E102</f>
        <v>99.700010999999989</v>
      </c>
      <c r="H43" s="24" t="str">
        <f>'13-14G'!I102</f>
        <v/>
      </c>
    </row>
    <row r="44" spans="1:8" x14ac:dyDescent="0.25">
      <c r="A44" s="25">
        <f t="shared" si="0"/>
        <v>43675</v>
      </c>
      <c r="B44" s="26" t="str">
        <f t="shared" si="1"/>
        <v>ALPS at Side</v>
      </c>
      <c r="C44" s="26" t="s">
        <v>18</v>
      </c>
      <c r="D44" s="26">
        <f>'13-14B'!C100</f>
        <v>1</v>
      </c>
      <c r="E44" s="27" t="str">
        <f>'13-14B'!F100&amp;IF('13-14B'!H100&lt;&gt;""," (EXHIB)","")</f>
        <v>Anthony Mier</v>
      </c>
      <c r="F44" s="26" t="str">
        <f>'13-14B'!G100</f>
        <v>WLRC</v>
      </c>
      <c r="G44" s="28">
        <f>'13-14B'!E100</f>
        <v>124.000007</v>
      </c>
      <c r="H44" s="29" t="str">
        <f>'13-14B'!I100</f>
        <v/>
      </c>
    </row>
    <row r="45" spans="1:8" x14ac:dyDescent="0.25">
      <c r="A45" s="25">
        <f t="shared" si="0"/>
        <v>43675</v>
      </c>
      <c r="B45" s="26" t="str">
        <f t="shared" si="1"/>
        <v>ALPS at Side</v>
      </c>
      <c r="C45" s="26" t="s">
        <v>18</v>
      </c>
      <c r="D45" s="26">
        <f>'13-14B'!C101</f>
        <v>2</v>
      </c>
      <c r="E45" s="27" t="str">
        <f>'13-14B'!F101&amp;IF('13-14B'!H101&lt;&gt;""," (EXHIB)","")</f>
        <v>Diego Garcia Acevedo</v>
      </c>
      <c r="F45" s="26" t="str">
        <f>'13-14B'!G101</f>
        <v>WSTMT</v>
      </c>
      <c r="G45" s="28">
        <f>'13-14B'!E101</f>
        <v>117.40000400000001</v>
      </c>
      <c r="H45" s="29" t="str">
        <f>'13-14B'!I101</f>
        <v/>
      </c>
    </row>
    <row r="46" spans="1:8" x14ac:dyDescent="0.25">
      <c r="A46" s="25">
        <f t="shared" si="0"/>
        <v>43675</v>
      </c>
      <c r="B46" s="26" t="str">
        <f t="shared" si="1"/>
        <v>ALPS at Side</v>
      </c>
      <c r="C46" s="26" t="s">
        <v>18</v>
      </c>
      <c r="D46" s="26">
        <f>'13-14B'!C102</f>
        <v>3</v>
      </c>
      <c r="E46" s="27" t="str">
        <f>'13-14B'!F102&amp;IF('13-14B'!H102&lt;&gt;""," (EXHIB)","")</f>
        <v>Edouard de Salles Laterriere</v>
      </c>
      <c r="F46" s="26" t="str">
        <f>'13-14B'!G102</f>
        <v>Side</v>
      </c>
      <c r="G46" s="28">
        <f>'13-14B'!E102</f>
        <v>115.900006</v>
      </c>
      <c r="H46" s="29" t="str">
        <f>'13-14B'!I102</f>
        <v/>
      </c>
    </row>
    <row r="47" spans="1:8" x14ac:dyDescent="0.25">
      <c r="A47" s="20">
        <f t="shared" si="0"/>
        <v>43675</v>
      </c>
      <c r="B47" s="21" t="str">
        <f t="shared" si="1"/>
        <v>ALPS at Side</v>
      </c>
      <c r="C47" s="21" t="s">
        <v>19</v>
      </c>
      <c r="D47" s="21">
        <f>'15+G'!C124</f>
        <v>1</v>
      </c>
      <c r="E47" s="22" t="str">
        <f>'15+G'!F124&amp;IF('15+G'!H124&lt;&gt;""," (EXHIB)","")</f>
        <v>Hannah Di Francesco</v>
      </c>
      <c r="F47" s="21" t="str">
        <f>'15+G'!G124</f>
        <v>WLRC</v>
      </c>
      <c r="G47" s="23">
        <f>'15+G'!E124</f>
        <v>186.90000299999997</v>
      </c>
      <c r="H47" s="24" t="str">
        <f>'15+G'!I124</f>
        <v/>
      </c>
    </row>
    <row r="48" spans="1:8" x14ac:dyDescent="0.25">
      <c r="A48" s="20">
        <f t="shared" si="0"/>
        <v>43675</v>
      </c>
      <c r="B48" s="21" t="str">
        <f t="shared" si="1"/>
        <v>ALPS at Side</v>
      </c>
      <c r="C48" s="21" t="s">
        <v>19</v>
      </c>
      <c r="D48" s="21">
        <f>'15+G'!C125</f>
        <v>2</v>
      </c>
      <c r="E48" s="22" t="str">
        <f>'15+G'!F125&amp;IF('15+G'!H125&lt;&gt;""," (EXHIB)","")</f>
        <v>Zoë Di Francesco</v>
      </c>
      <c r="F48" s="21" t="str">
        <f>'15+G'!G125</f>
        <v>WLRC</v>
      </c>
      <c r="G48" s="23">
        <f>'15+G'!E125</f>
        <v>143.50000800000001</v>
      </c>
      <c r="H48" s="24" t="str">
        <f>'15+G'!I125</f>
        <v/>
      </c>
    </row>
    <row r="49" spans="1:9" x14ac:dyDescent="0.25">
      <c r="A49" s="20">
        <f t="shared" si="0"/>
        <v>43675</v>
      </c>
      <c r="B49" s="21" t="str">
        <f t="shared" si="1"/>
        <v>ALPS at Side</v>
      </c>
      <c r="C49" s="21" t="s">
        <v>19</v>
      </c>
      <c r="D49" s="21">
        <f>'15+G'!C126</f>
        <v>3</v>
      </c>
      <c r="E49" s="22" t="str">
        <f>'15+G'!F126&amp;IF('15+G'!H126&lt;&gt;""," (EXHIB)","")</f>
        <v>Stef Reeves</v>
      </c>
      <c r="F49" s="21" t="str">
        <f>'15+G'!G126</f>
        <v>Cedar</v>
      </c>
      <c r="G49" s="23">
        <f>'15+G'!E126</f>
        <v>135.25000199999999</v>
      </c>
      <c r="H49" s="24" t="str">
        <f>'15+G'!I126</f>
        <v/>
      </c>
    </row>
    <row r="50" spans="1:9" x14ac:dyDescent="0.25">
      <c r="A50" s="25">
        <f t="shared" si="0"/>
        <v>43675</v>
      </c>
      <c r="B50" s="26" t="str">
        <f t="shared" si="1"/>
        <v>ALPS at Side</v>
      </c>
      <c r="C50" s="26" t="s">
        <v>20</v>
      </c>
      <c r="D50" s="26">
        <f>'15+B'!C124</f>
        <v>1</v>
      </c>
      <c r="E50" s="27" t="str">
        <f>'15+B'!F124&amp;IF('15+B'!H124&lt;&gt;""," (EXHIB)","")</f>
        <v>Deen Akrivos</v>
      </c>
      <c r="F50" s="26" t="str">
        <f>'15+B'!G124</f>
        <v>WLRC</v>
      </c>
      <c r="G50" s="28">
        <f>'15+B'!E124</f>
        <v>181.20000299999998</v>
      </c>
      <c r="H50" s="29" t="str">
        <f>'15+B'!I124</f>
        <v/>
      </c>
    </row>
    <row r="51" spans="1:9" x14ac:dyDescent="0.25">
      <c r="A51" s="25">
        <f t="shared" si="0"/>
        <v>43675</v>
      </c>
      <c r="B51" s="26" t="str">
        <f t="shared" si="1"/>
        <v>ALPS at Side</v>
      </c>
      <c r="C51" s="26" t="s">
        <v>20</v>
      </c>
      <c r="D51" s="26">
        <f>'15+B'!C125</f>
        <v>2</v>
      </c>
      <c r="E51" s="27" t="str">
        <f>'15+B'!F125&amp;IF('15+B'!H125&lt;&gt;""," (EXHIB)","")</f>
        <v>Kris Boudreau</v>
      </c>
      <c r="F51" s="26" t="str">
        <f>'15+B'!G125</f>
        <v>PVPC</v>
      </c>
      <c r="G51" s="28">
        <f>'15+B'!E125</f>
        <v>156.450006</v>
      </c>
      <c r="H51" s="29" t="str">
        <f>'15+B'!I125</f>
        <v/>
      </c>
    </row>
    <row r="52" spans="1:9" x14ac:dyDescent="0.25">
      <c r="A52" s="25">
        <f t="shared" si="0"/>
        <v>43675</v>
      </c>
      <c r="B52" s="26" t="str">
        <f t="shared" si="1"/>
        <v>ALPS at Side</v>
      </c>
      <c r="C52" s="26" t="s">
        <v>20</v>
      </c>
      <c r="D52" s="26">
        <f>'15+B'!C126</f>
        <v>3</v>
      </c>
      <c r="E52" s="27" t="str">
        <f>'15+B'!F126&amp;IF('15+B'!H126&lt;&gt;""," (EXHIB)","")</f>
        <v>Juan Cruz</v>
      </c>
      <c r="F52" s="26" t="str">
        <f>'15+B'!G126</f>
        <v>VIK</v>
      </c>
      <c r="G52" s="28">
        <f>'15+B'!E126</f>
        <v>140.400012</v>
      </c>
      <c r="H52" s="29" t="str">
        <f>'15+B'!I126</f>
        <v/>
      </c>
    </row>
    <row r="53" spans="1:9" x14ac:dyDescent="0.25">
      <c r="A53" s="30">
        <f t="shared" si="0"/>
        <v>43675</v>
      </c>
      <c r="B53" s="31" t="str">
        <f t="shared" si="1"/>
        <v>ALPS at Side</v>
      </c>
      <c r="C53" s="32"/>
      <c r="D53" s="32"/>
      <c r="E53" s="33"/>
      <c r="F53" s="32"/>
      <c r="G53" s="34"/>
      <c r="H53" s="35"/>
      <c r="I53" s="36"/>
    </row>
    <row r="54" spans="1:9" x14ac:dyDescent="0.25">
      <c r="A54" s="30">
        <f t="shared" si="0"/>
        <v>43675</v>
      </c>
      <c r="B54" s="31" t="str">
        <f t="shared" si="1"/>
        <v>ALPS at Side</v>
      </c>
      <c r="C54" s="32"/>
      <c r="D54" s="32"/>
      <c r="E54" s="33"/>
      <c r="F54" s="32"/>
      <c r="G54" s="34"/>
      <c r="H54" s="35"/>
      <c r="I54" s="37"/>
    </row>
    <row r="55" spans="1:9" x14ac:dyDescent="0.25">
      <c r="A55" s="30">
        <f t="shared" si="0"/>
        <v>43675</v>
      </c>
      <c r="B55" s="31" t="str">
        <f t="shared" si="1"/>
        <v>ALPS at Side</v>
      </c>
      <c r="C55" s="32"/>
      <c r="D55" s="32"/>
      <c r="E55" s="33"/>
      <c r="F55" s="32"/>
      <c r="G55" s="34"/>
      <c r="H55" s="35"/>
      <c r="I55" s="37"/>
    </row>
    <row r="56" spans="1:9" x14ac:dyDescent="0.25">
      <c r="A56" s="30">
        <f t="shared" si="0"/>
        <v>43675</v>
      </c>
      <c r="B56" s="31" t="str">
        <f t="shared" si="1"/>
        <v>ALPS at Side</v>
      </c>
      <c r="C56" s="32"/>
      <c r="D56" s="32"/>
      <c r="E56" s="33"/>
      <c r="F56" s="32"/>
      <c r="G56" s="34"/>
      <c r="H56" s="35"/>
      <c r="I56" s="37"/>
    </row>
    <row r="57" spans="1:9" x14ac:dyDescent="0.25">
      <c r="A57" s="30">
        <f t="shared" si="0"/>
        <v>43675</v>
      </c>
      <c r="B57" s="31" t="str">
        <f t="shared" si="1"/>
        <v>ALPS at Side</v>
      </c>
      <c r="C57" s="32"/>
      <c r="D57" s="32"/>
      <c r="E57" s="33"/>
      <c r="F57" s="32"/>
      <c r="G57" s="34"/>
      <c r="H57" s="35"/>
      <c r="I57" s="37"/>
    </row>
    <row r="58" spans="1:9" x14ac:dyDescent="0.25">
      <c r="A58" s="30">
        <f t="shared" si="0"/>
        <v>43675</v>
      </c>
      <c r="B58" s="31" t="str">
        <f t="shared" si="1"/>
        <v>ALPS at Side</v>
      </c>
      <c r="C58" s="38" t="s">
        <v>31</v>
      </c>
      <c r="D58" s="38"/>
      <c r="E58" s="33"/>
      <c r="F58" s="32"/>
      <c r="G58" s="34"/>
      <c r="H58" s="35"/>
      <c r="I58" s="37"/>
    </row>
    <row r="59" spans="1:9" x14ac:dyDescent="0.25">
      <c r="A59" s="30">
        <f t="shared" si="0"/>
        <v>43675</v>
      </c>
      <c r="B59" s="31" t="str">
        <f t="shared" si="1"/>
        <v>ALPS at Side</v>
      </c>
      <c r="C59" s="32"/>
      <c r="D59" s="32"/>
      <c r="E59" s="33"/>
      <c r="F59" s="32"/>
      <c r="G59" s="34"/>
      <c r="H59" s="35"/>
      <c r="I59" s="37"/>
    </row>
    <row r="60" spans="1:9" x14ac:dyDescent="0.25">
      <c r="A60" s="30">
        <f t="shared" si="0"/>
        <v>43675</v>
      </c>
      <c r="B60" s="31" t="str">
        <f t="shared" si="1"/>
        <v>ALPS at Side</v>
      </c>
      <c r="C60" s="32"/>
      <c r="D60" s="32"/>
      <c r="E60" s="33"/>
      <c r="F60" s="32"/>
      <c r="G60" s="34"/>
      <c r="H60" s="35"/>
      <c r="I60" s="37"/>
    </row>
    <row r="61" spans="1:9" x14ac:dyDescent="0.25">
      <c r="A61" s="30">
        <f t="shared" si="0"/>
        <v>43675</v>
      </c>
      <c r="B61" s="31" t="str">
        <f t="shared" si="1"/>
        <v>ALPS at Side</v>
      </c>
      <c r="C61" s="32"/>
      <c r="D61" s="32"/>
      <c r="E61" s="33"/>
      <c r="F61" s="32"/>
      <c r="G61" s="34"/>
      <c r="H61" s="35"/>
      <c r="I61" s="37"/>
    </row>
    <row r="62" spans="1:9" x14ac:dyDescent="0.25">
      <c r="A62" s="30">
        <f t="shared" si="0"/>
        <v>43675</v>
      </c>
      <c r="B62" s="31" t="str">
        <f t="shared" si="1"/>
        <v>ALPS at Side</v>
      </c>
      <c r="C62" s="32"/>
      <c r="D62" s="32"/>
      <c r="E62" s="33"/>
      <c r="F62" s="32"/>
      <c r="G62" s="34"/>
      <c r="H62" s="35"/>
      <c r="I62" s="37"/>
    </row>
    <row r="63" spans="1:9" x14ac:dyDescent="0.25">
      <c r="A63" s="30">
        <f t="shared" si="0"/>
        <v>43675</v>
      </c>
      <c r="B63" s="31" t="str">
        <f t="shared" si="1"/>
        <v>ALPS at Side</v>
      </c>
      <c r="C63" s="32"/>
      <c r="D63" s="32"/>
      <c r="E63" s="33"/>
      <c r="F63" s="32"/>
      <c r="G63" s="34"/>
      <c r="H63" s="35"/>
      <c r="I63" s="37"/>
    </row>
    <row r="64" spans="1:9" x14ac:dyDescent="0.25">
      <c r="A64" s="39">
        <f t="shared" si="0"/>
        <v>43675</v>
      </c>
      <c r="B64" s="40" t="str">
        <f t="shared" si="1"/>
        <v>ALPS at Side</v>
      </c>
      <c r="C64" s="41"/>
      <c r="D64" s="41"/>
      <c r="E64" s="42"/>
      <c r="F64" s="41"/>
      <c r="G64" s="43"/>
      <c r="H64" s="44"/>
      <c r="I64" s="37"/>
    </row>
  </sheetData>
  <sheetProtection sheet="1" objects="1" scenarios="1"/>
  <mergeCells count="4">
    <mergeCell ref="E4:F4"/>
    <mergeCell ref="E5:F5"/>
    <mergeCell ref="A7:C7"/>
    <mergeCell ref="A21:H21"/>
  </mergeCells>
  <conditionalFormatting sqref="B4:B5">
    <cfRule type="duplicateValues" dxfId="1540" priority="2"/>
  </conditionalFormatting>
  <dataValidations count="3">
    <dataValidation type="whole" allowBlank="1" showInputMessage="1" showErrorMessage="1" errorTitle="Oops!" error="Enter 1 - 31" sqref="B2">
      <formula1>1</formula1>
      <formula2>31</formula2>
    </dataValidation>
    <dataValidation type="whole" allowBlank="1" showInputMessage="1" showErrorMessage="1" errorTitle="Oops!" error="Enter the month 1 - 12" sqref="D2">
      <formula1>1</formula1>
      <formula2>12</formula2>
    </dataValidation>
    <dataValidation type="whole" allowBlank="1" showInputMessage="1" showErrorMessage="1" errorTitle="Oops!" error="Enter the year" sqref="F2">
      <formula1>2018</formula1>
      <formula2>9999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Enter name of home pool" error="BDAC, BEAU, BHILL, BHTS, CAVIP, CEDAR, DIXIE, HCP, HYC, LACH, MWAC, PIN, PVPC, RPRA, SENVL, SHORE, SIDE, VAL, VIK, WAC, WLRC, WSTMT">
          <x14:formula1>
            <xm:f>DD!$E$1:$E$22</xm:f>
          </x14:formula1>
          <x14:formula2>
            <xm:f>0</xm:f>
          </x14:formula2>
          <xm:sqref>B4</xm:sqref>
        </x14:dataValidation>
        <x14:dataValidation type="list" allowBlank="1" showDropDown="1" showErrorMessage="1" errorTitle="Enter name of Visitor pool" error="BDAC, BEAU, BHILL, BHTS, CAVIP, CEDAR, DIXIE, HCP, HYC, LACH, MWAC, PIN, PVPC, RPRA, SENVL, SHORE, SIDE, VAL, VIK, WAC, WLRC, WSTMT">
          <x14:formula1>
            <xm:f>DD!$E$1:$E$22</xm:f>
          </x14:formula1>
          <x14:formula2>
            <xm:f>0</xm:f>
          </x14:formula2>
          <xm:sqref>B5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8"/>
  <sheetViews>
    <sheetView zoomScaleNormal="100" workbookViewId="0">
      <pane ySplit="1" topLeftCell="A119" activePane="bottomLeft" state="frozen"/>
      <selection activeCell="C1" sqref="C1"/>
      <selection pane="bottomLeft" activeCell="B2" sqref="B2:B6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7.710937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3.7109375" style="45" hidden="1" customWidth="1"/>
    <col min="20" max="20" width="9.14062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x14ac:dyDescent="0.25">
      <c r="A2" s="97">
        <v>1</v>
      </c>
      <c r="B2" s="107"/>
      <c r="C2" s="106"/>
      <c r="D2" s="46">
        <v>1</v>
      </c>
      <c r="E2" s="50"/>
      <c r="F2" s="45" t="str">
        <f>IF($E2="","",IF(ISNA(VLOOKUP($E2,DD!$A$2:$C$150,2,0)),"NO SUCH DIVE",VLOOKUP($E2,DD!$A$2:$C$150,2,0)))</f>
        <v/>
      </c>
      <c r="G2" s="51" t="str">
        <f>IF($E2="","",IF(ISNA(VLOOKUP($E2,DD!$A$2:$C$150,3,0)),"",VLOOKUP($E2,DD!$A$2:$C$150,3,0)))</f>
        <v/>
      </c>
      <c r="H2" s="52"/>
      <c r="I2" s="52"/>
      <c r="J2" s="52"/>
      <c r="K2" s="52"/>
      <c r="L2" s="52"/>
      <c r="M2" s="50"/>
      <c r="N2" s="45" t="str">
        <f t="shared" ref="N2:N33" si="0">IF(G2="","",IF(COUNT(H2:L2)=3,IF(M2&lt;&gt;"",(SUM(H2:J2)-6)*G2,SUM(H2:J2)*G2),IF(M2&lt;&gt;"",(SUM(H2:L2)-MAX(H2:L2)-MIN(H2:L2)-6)*G2,(SUM(H2:L2)-MAX(H2:L2)-MIN(H2:L2))*G2)))</f>
        <v/>
      </c>
      <c r="O2" s="45" t="str">
        <f>IF(N2="","",N2)</f>
        <v/>
      </c>
      <c r="R2" s="53">
        <f>O6+0.000001</f>
        <v>9.9999999999999995E-7</v>
      </c>
      <c r="S2" s="53">
        <f>B2</f>
        <v>0</v>
      </c>
      <c r="T2" s="53">
        <f>C2</f>
        <v>0</v>
      </c>
    </row>
    <row r="3" spans="1:20" x14ac:dyDescent="0.25">
      <c r="A3" s="97"/>
      <c r="B3" s="107"/>
      <c r="C3" s="106"/>
      <c r="D3" s="46">
        <v>2</v>
      </c>
      <c r="E3" s="62"/>
      <c r="F3" s="45" t="str">
        <f>IF($E3="","",IF(ISNA(VLOOKUP($E3,DD!$A$2:$C$150,2,0)),"NO SUCH DIVE",VLOOKUP($E3,DD!$A$2:$C$150,2,0)))</f>
        <v/>
      </c>
      <c r="G3" s="51" t="str">
        <f>IF($E3="","",IF(ISNA(VLOOKUP($E3,DD!$A$2:$C$150,3,0)),"",VLOOKUP($E3,DD!$A$2:$C$150,3,0)))</f>
        <v/>
      </c>
      <c r="H3" s="52"/>
      <c r="I3" s="52"/>
      <c r="J3" s="52"/>
      <c r="K3" s="52"/>
      <c r="L3" s="52"/>
      <c r="M3" s="50"/>
      <c r="N3" s="45" t="str">
        <f t="shared" si="0"/>
        <v/>
      </c>
      <c r="O3" s="45" t="str">
        <f>IF(N3="","",N3+O2)</f>
        <v/>
      </c>
      <c r="R3" s="53">
        <f>O11+0.000002</f>
        <v>135.25000199999999</v>
      </c>
      <c r="S3" s="53" t="str">
        <f>B7</f>
        <v>Stef Reeves</v>
      </c>
      <c r="T3" s="53" t="str">
        <f>C7</f>
        <v>Cedar</v>
      </c>
    </row>
    <row r="4" spans="1:20" x14ac:dyDescent="0.25">
      <c r="A4" s="97"/>
      <c r="B4" s="107"/>
      <c r="C4" s="106"/>
      <c r="D4" s="46">
        <v>3</v>
      </c>
      <c r="E4" s="62"/>
      <c r="F4" s="45" t="str">
        <f>IF($E4="","",IF(ISNA(VLOOKUP($E4,DD!$A$2:$C$150,2,0)),"NO SUCH DIVE",VLOOKUP($E4,DD!$A$2:$C$150,2,0)))</f>
        <v/>
      </c>
      <c r="G4" s="51" t="str">
        <f>IF($E4="","",IF(ISNA(VLOOKUP($E4,DD!$A$2:$C$150,3,0)),"",VLOOKUP($E4,DD!$A$2:$C$150,3,0)))</f>
        <v/>
      </c>
      <c r="H4" s="52"/>
      <c r="I4" s="52"/>
      <c r="J4" s="52"/>
      <c r="K4" s="52"/>
      <c r="L4" s="52"/>
      <c r="M4" s="50"/>
      <c r="N4" s="45" t="str">
        <f t="shared" si="0"/>
        <v/>
      </c>
      <c r="O4" s="45" t="str">
        <f>IF(N4="","",N4+O3)</f>
        <v/>
      </c>
      <c r="R4" s="53">
        <f>O16+0.000003</f>
        <v>186.90000299999997</v>
      </c>
      <c r="S4" s="53" t="str">
        <f>B12</f>
        <v>Hannah Di Francesco</v>
      </c>
      <c r="T4" s="53" t="str">
        <f>C12</f>
        <v>WLRC</v>
      </c>
    </row>
    <row r="5" spans="1:20" x14ac:dyDescent="0.25">
      <c r="A5" s="97"/>
      <c r="B5" s="107"/>
      <c r="C5" s="106"/>
      <c r="D5" s="46">
        <v>4</v>
      </c>
      <c r="E5" s="62"/>
      <c r="F5" s="45" t="str">
        <f>IF($E5="","",IF(ISNA(VLOOKUP($E5,DD!$A$2:$C$150,2,0)),"NO SUCH DIVE",VLOOKUP($E5,DD!$A$2:$C$150,2,0)))</f>
        <v/>
      </c>
      <c r="G5" s="46" t="str">
        <f>IF($E5="","",IF(ISNA(VLOOKUP($E5,DD!$A$2:$C$150,3,0)),"",VLOOKUP($E5,DD!$A$2:$C$150,3,0)))</f>
        <v/>
      </c>
      <c r="H5" s="52"/>
      <c r="I5" s="52"/>
      <c r="J5" s="52"/>
      <c r="K5" s="52"/>
      <c r="L5" s="52"/>
      <c r="M5" s="50"/>
      <c r="N5" s="45" t="str">
        <f t="shared" si="0"/>
        <v/>
      </c>
      <c r="O5" s="45" t="str">
        <f>IF(N5="","",N5+O4)</f>
        <v/>
      </c>
      <c r="R5" s="53">
        <f>O21+0.000004</f>
        <v>101.40000400000001</v>
      </c>
      <c r="S5" s="53" t="str">
        <f>B17</f>
        <v>Victoria Hanna</v>
      </c>
      <c r="T5" s="53" t="str">
        <f>C17</f>
        <v>HCP</v>
      </c>
    </row>
    <row r="6" spans="1:20" x14ac:dyDescent="0.25">
      <c r="A6" s="97"/>
      <c r="B6" s="107"/>
      <c r="C6" s="106"/>
      <c r="D6" s="46">
        <v>5</v>
      </c>
      <c r="E6" s="62"/>
      <c r="F6" s="45" t="str">
        <f>IF($E6="","",IF(ISNA(VLOOKUP($E6,DD!$A$2:$C$150,2,0)),"NO SUCH DIVE",VLOOKUP($E6,DD!$A$2:$C$150,2,0)))</f>
        <v/>
      </c>
      <c r="G6" s="46" t="str">
        <f>IF($E6="","",IF(ISNA(VLOOKUP($E6,DD!$A$2:$C$150,3,0)),"",VLOOKUP($E6,DD!$A$2:$C$150,3,0)))</f>
        <v/>
      </c>
      <c r="H6" s="52"/>
      <c r="I6" s="52"/>
      <c r="J6" s="52"/>
      <c r="K6" s="52"/>
      <c r="L6" s="52"/>
      <c r="M6" s="50"/>
      <c r="N6" s="45" t="str">
        <f t="shared" si="0"/>
        <v/>
      </c>
      <c r="O6" s="54">
        <f>IF(N6="",0,N6+O5)</f>
        <v>0</v>
      </c>
      <c r="R6" s="53">
        <f>O26+0.000005</f>
        <v>87.550004999999999</v>
      </c>
      <c r="S6" s="53" t="str">
        <f>B22</f>
        <v>Sammy Sherrard</v>
      </c>
      <c r="T6" s="53" t="str">
        <f>C22</f>
        <v>Val</v>
      </c>
    </row>
    <row r="7" spans="1:20" ht="15" customHeight="1" x14ac:dyDescent="0.25">
      <c r="A7" s="100">
        <v>2</v>
      </c>
      <c r="B7" s="101" t="s">
        <v>160</v>
      </c>
      <c r="C7" s="102" t="s">
        <v>57</v>
      </c>
      <c r="D7" s="55">
        <v>1</v>
      </c>
      <c r="E7" s="56" t="s">
        <v>138</v>
      </c>
      <c r="F7" s="57" t="str">
        <f>IF($E7="","",IF(ISNA(VLOOKUP($E7,DD!$A$2:$C$150,2,0)),"NO SUCH DIVE",VLOOKUP($E7,DD!$A$2:$C$150,2,0)))</f>
        <v>Front dive pike</v>
      </c>
      <c r="G7" s="58">
        <f>IF($E7="","",IF(ISNA(VLOOKUP($E7,DD!$A$2:$C$150,3,0)),"",VLOOKUP($E7,DD!$A$2:$C$150,3,0)))</f>
        <v>1.3</v>
      </c>
      <c r="H7" s="59">
        <v>6.5</v>
      </c>
      <c r="I7" s="59">
        <v>7.5</v>
      </c>
      <c r="J7" s="59">
        <v>7.5</v>
      </c>
      <c r="K7" s="59">
        <v>7</v>
      </c>
      <c r="L7" s="59">
        <v>7.5</v>
      </c>
      <c r="M7" s="56"/>
      <c r="N7" s="57">
        <f t="shared" si="0"/>
        <v>28.6</v>
      </c>
      <c r="O7" s="57">
        <f>IF(N7="","",N7)</f>
        <v>28.6</v>
      </c>
      <c r="R7" s="53">
        <f>O31+0.000006</f>
        <v>134.700006</v>
      </c>
      <c r="S7" s="53" t="str">
        <f>B27</f>
        <v>Margaret Marak</v>
      </c>
      <c r="T7" s="53" t="str">
        <f>C27</f>
        <v>PVPC</v>
      </c>
    </row>
    <row r="8" spans="1:20" x14ac:dyDescent="0.25">
      <c r="A8" s="100"/>
      <c r="B8" s="101"/>
      <c r="C8" s="102"/>
      <c r="D8" s="55">
        <v>2</v>
      </c>
      <c r="E8" s="61" t="s">
        <v>58</v>
      </c>
      <c r="F8" s="57" t="str">
        <f>IF($E8="","",IF(ISNA(VLOOKUP($E8,DD!$A$2:$C$150,2,0)),"NO SUCH DIVE",VLOOKUP($E8,DD!$A$2:$C$150,2,0)))</f>
        <v>Back dive layout</v>
      </c>
      <c r="G8" s="58">
        <f>IF($E8="","",IF(ISNA(VLOOKUP($E8,DD!$A$2:$C$150,3,0)),"",VLOOKUP($E8,DD!$A$2:$C$150,3,0)))</f>
        <v>1.4</v>
      </c>
      <c r="H8" s="59">
        <v>4.5</v>
      </c>
      <c r="I8" s="59">
        <v>5.5</v>
      </c>
      <c r="J8" s="59">
        <v>5.5</v>
      </c>
      <c r="K8" s="59">
        <v>5</v>
      </c>
      <c r="L8" s="59">
        <v>5.5</v>
      </c>
      <c r="M8" s="56"/>
      <c r="N8" s="57">
        <f t="shared" si="0"/>
        <v>22.4</v>
      </c>
      <c r="O8" s="57">
        <f>IF(N8="","",N8+O7)</f>
        <v>51</v>
      </c>
      <c r="R8" s="53">
        <f>O36+0.000007</f>
        <v>91.400006999999988</v>
      </c>
      <c r="S8" s="53" t="str">
        <f>B32</f>
        <v>Hannah Long-Metcalf</v>
      </c>
      <c r="T8" s="53" t="str">
        <f>C32</f>
        <v>Cedar</v>
      </c>
    </row>
    <row r="9" spans="1:20" x14ac:dyDescent="0.25">
      <c r="A9" s="100"/>
      <c r="B9" s="101"/>
      <c r="C9" s="102"/>
      <c r="D9" s="55">
        <v>3</v>
      </c>
      <c r="E9" s="61" t="s">
        <v>161</v>
      </c>
      <c r="F9" s="57" t="str">
        <f>IF($E9="","",IF(ISNA(VLOOKUP($E9,DD!$A$2:$C$150,2,0)),"NO SUCH DIVE",VLOOKUP($E9,DD!$A$2:$C$150,2,0)))</f>
        <v>Inward dive pike</v>
      </c>
      <c r="G9" s="58">
        <f>IF($E9="","",IF(ISNA(VLOOKUP($E9,DD!$A$2:$C$150,3,0)),"",VLOOKUP($E9,DD!$A$2:$C$150,3,0)))</f>
        <v>1.5</v>
      </c>
      <c r="H9" s="59">
        <v>6</v>
      </c>
      <c r="I9" s="59">
        <v>6.5</v>
      </c>
      <c r="J9" s="59">
        <v>5.5</v>
      </c>
      <c r="K9" s="59">
        <v>6</v>
      </c>
      <c r="L9" s="59">
        <v>5.5</v>
      </c>
      <c r="M9" s="56"/>
      <c r="N9" s="57">
        <f t="shared" si="0"/>
        <v>26.25</v>
      </c>
      <c r="O9" s="57">
        <f>IF(N9="","",N9+O8)</f>
        <v>77.25</v>
      </c>
      <c r="R9" s="53">
        <f>O41+0.000008</f>
        <v>143.50000800000001</v>
      </c>
      <c r="S9" s="53" t="str">
        <f>B37</f>
        <v>Zoë Di Francesco</v>
      </c>
      <c r="T9" s="53" t="str">
        <f>C37</f>
        <v>WLRC</v>
      </c>
    </row>
    <row r="10" spans="1:20" x14ac:dyDescent="0.25">
      <c r="A10" s="100"/>
      <c r="B10" s="101"/>
      <c r="C10" s="102"/>
      <c r="D10" s="55">
        <v>4</v>
      </c>
      <c r="E10" s="56" t="s">
        <v>147</v>
      </c>
      <c r="F10" s="57" t="str">
        <f>IF($E10="","",IF(ISNA(VLOOKUP($E10,DD!$A$2:$C$150,2,0)),"NO SUCH DIVE",VLOOKUP($E10,DD!$A$2:$C$150,2,0)))</f>
        <v>Front  1 ½ somersault pike</v>
      </c>
      <c r="G10" s="55">
        <f>IF($E10="","",IF(ISNA(VLOOKUP($E10,DD!$A$2:$C$150,3,0)),"",VLOOKUP($E10,DD!$A$2:$C$150,3,0)))</f>
        <v>1.7</v>
      </c>
      <c r="H10" s="59">
        <v>6.5</v>
      </c>
      <c r="I10" s="59">
        <v>6.5</v>
      </c>
      <c r="J10" s="59">
        <v>7</v>
      </c>
      <c r="K10" s="59">
        <v>8</v>
      </c>
      <c r="L10" s="59">
        <v>6</v>
      </c>
      <c r="M10" s="56"/>
      <c r="N10" s="57">
        <f t="shared" si="0"/>
        <v>34</v>
      </c>
      <c r="O10" s="57">
        <f>IF(N10="","",N10+O9)</f>
        <v>111.25</v>
      </c>
      <c r="R10" s="53">
        <f>O46+0.000009</f>
        <v>98.900008999999997</v>
      </c>
      <c r="S10" s="53" t="str">
        <f>B42</f>
        <v>Emma Geoffroy</v>
      </c>
      <c r="T10" s="53" t="str">
        <f>C42</f>
        <v>Cedar</v>
      </c>
    </row>
    <row r="11" spans="1:20" x14ac:dyDescent="0.25">
      <c r="A11" s="100"/>
      <c r="B11" s="101"/>
      <c r="C11" s="102"/>
      <c r="D11" s="55">
        <v>5</v>
      </c>
      <c r="E11" s="56" t="s">
        <v>162</v>
      </c>
      <c r="F11" s="57" t="str">
        <f>IF($E11="","",IF(ISNA(VLOOKUP($E11,DD!$A$2:$C$150,2,0)),"NO SUCH DIVE",VLOOKUP($E11,DD!$A$2:$C$150,2,0)))</f>
        <v>Inward somersault tuck</v>
      </c>
      <c r="G11" s="55">
        <f>IF($E11="","",IF(ISNA(VLOOKUP($E11,DD!$A$2:$C$150,3,0)),"",VLOOKUP($E11,DD!$A$2:$C$150,3,0)))</f>
        <v>1.6</v>
      </c>
      <c r="H11" s="59">
        <v>5</v>
      </c>
      <c r="I11" s="59">
        <v>5</v>
      </c>
      <c r="J11" s="59">
        <v>5</v>
      </c>
      <c r="K11" s="59">
        <v>5</v>
      </c>
      <c r="L11" s="59">
        <v>5</v>
      </c>
      <c r="M11" s="56"/>
      <c r="N11" s="57">
        <f t="shared" si="0"/>
        <v>24</v>
      </c>
      <c r="O11" s="60">
        <f>IF(N11="",0,N11+O10)</f>
        <v>135.25</v>
      </c>
      <c r="R11" s="53">
        <f>O51+0.00001</f>
        <v>77.750010000000003</v>
      </c>
      <c r="S11" s="53" t="str">
        <f>B47</f>
        <v>Lauren Kuzak</v>
      </c>
      <c r="T11" s="53" t="str">
        <f>C47</f>
        <v>Side</v>
      </c>
    </row>
    <row r="12" spans="1:20" ht="15" customHeight="1" x14ac:dyDescent="0.25">
      <c r="A12" s="97">
        <v>3</v>
      </c>
      <c r="B12" s="107" t="s">
        <v>163</v>
      </c>
      <c r="C12" s="106" t="s">
        <v>88</v>
      </c>
      <c r="D12" s="46">
        <v>1</v>
      </c>
      <c r="E12" s="50" t="s">
        <v>164</v>
      </c>
      <c r="F12" s="45" t="str">
        <f>IF($E12="","",IF(ISNA(VLOOKUP($E12,DD!$A$2:$C$150,2,0)),"NO SUCH DIVE",VLOOKUP($E12,DD!$A$2:$C$150,2,0)))</f>
        <v>Front somersault layout</v>
      </c>
      <c r="G12" s="51">
        <f>IF($E12="","",IF(ISNA(VLOOKUP($E12,DD!$A$2:$C$150,3,0)),"",VLOOKUP($E12,DD!$A$2:$C$150,3,0)))</f>
        <v>1.6</v>
      </c>
      <c r="H12" s="52">
        <v>7</v>
      </c>
      <c r="I12" s="52">
        <v>7</v>
      </c>
      <c r="J12" s="52">
        <v>7.5</v>
      </c>
      <c r="K12" s="52">
        <v>7.5</v>
      </c>
      <c r="L12" s="52">
        <v>7.5</v>
      </c>
      <c r="M12" s="50"/>
      <c r="N12" s="45">
        <f t="shared" si="0"/>
        <v>35.200000000000003</v>
      </c>
      <c r="O12" s="45">
        <f>IF(N12="","",N12)</f>
        <v>35.200000000000003</v>
      </c>
      <c r="R12" s="53">
        <f>O56+0.000011</f>
        <v>90.700010999999989</v>
      </c>
      <c r="S12" s="53" t="str">
        <f>B52</f>
        <v>Dana Hay</v>
      </c>
      <c r="T12" s="53" t="str">
        <f>C52</f>
        <v>Side</v>
      </c>
    </row>
    <row r="13" spans="1:20" x14ac:dyDescent="0.25">
      <c r="A13" s="97"/>
      <c r="B13" s="107"/>
      <c r="C13" s="106"/>
      <c r="D13" s="46">
        <v>2</v>
      </c>
      <c r="E13" s="50" t="s">
        <v>165</v>
      </c>
      <c r="F13" s="45" t="str">
        <f>IF($E13="","",IF(ISNA(VLOOKUP($E13,DD!$A$2:$C$150,2,0)),"NO SUCH DIVE",VLOOKUP($E13,DD!$A$2:$C$150,2,0)))</f>
        <v>Inward dive pike</v>
      </c>
      <c r="G13" s="51">
        <f>IF($E13="","",IF(ISNA(VLOOKUP($E13,DD!$A$2:$C$150,3,0)),"",VLOOKUP($E13,DD!$A$2:$C$150,3,0)))</f>
        <v>1.5</v>
      </c>
      <c r="H13" s="52">
        <v>8</v>
      </c>
      <c r="I13" s="52">
        <v>8</v>
      </c>
      <c r="J13" s="52">
        <v>7.5</v>
      </c>
      <c r="K13" s="52">
        <v>8</v>
      </c>
      <c r="L13" s="52">
        <v>8</v>
      </c>
      <c r="M13" s="50"/>
      <c r="N13" s="45">
        <f t="shared" si="0"/>
        <v>36</v>
      </c>
      <c r="O13" s="45">
        <f>IF(N13="","",N13+O12)</f>
        <v>71.2</v>
      </c>
      <c r="R13" s="53">
        <f>O61+0.000012</f>
        <v>108.35001199999999</v>
      </c>
      <c r="S13" s="53" t="str">
        <f>B57</f>
        <v>Abby W.-A.</v>
      </c>
      <c r="T13" s="53" t="str">
        <f>C57</f>
        <v>Val</v>
      </c>
    </row>
    <row r="14" spans="1:20" x14ac:dyDescent="0.25">
      <c r="A14" s="97"/>
      <c r="B14" s="107"/>
      <c r="C14" s="106"/>
      <c r="D14" s="46">
        <v>3</v>
      </c>
      <c r="E14" s="50" t="s">
        <v>166</v>
      </c>
      <c r="F14" s="45" t="str">
        <f>IF($E14="","",IF(ISNA(VLOOKUP($E14,DD!$A$2:$C$150,2,0)),"NO SUCH DIVE",VLOOKUP($E14,DD!$A$2:$C$150,2,0)))</f>
        <v>Front somersault full twist free</v>
      </c>
      <c r="G14" s="51">
        <f>IF($E14="","",IF(ISNA(VLOOKUP($E14,DD!$A$2:$C$150,3,0)),"",VLOOKUP($E14,DD!$A$2:$C$150,3,0)))</f>
        <v>1.9</v>
      </c>
      <c r="H14" s="52">
        <v>6.5</v>
      </c>
      <c r="I14" s="52">
        <v>6</v>
      </c>
      <c r="J14" s="52">
        <v>5.5</v>
      </c>
      <c r="K14" s="52">
        <v>7</v>
      </c>
      <c r="L14" s="52">
        <v>6</v>
      </c>
      <c r="M14" s="50"/>
      <c r="N14" s="45">
        <f t="shared" si="0"/>
        <v>35.15</v>
      </c>
      <c r="O14" s="45">
        <f>IF(N14="","",N14+O13)</f>
        <v>106.35</v>
      </c>
      <c r="R14" s="53">
        <f>O66+0.000013</f>
        <v>1.2999999999999999E-5</v>
      </c>
      <c r="S14" s="53">
        <f>B62</f>
        <v>0</v>
      </c>
      <c r="T14" s="53">
        <f>C62</f>
        <v>0</v>
      </c>
    </row>
    <row r="15" spans="1:20" x14ac:dyDescent="0.25">
      <c r="A15" s="97"/>
      <c r="B15" s="107"/>
      <c r="C15" s="106"/>
      <c r="D15" s="46">
        <v>4</v>
      </c>
      <c r="E15" s="50" t="s">
        <v>132</v>
      </c>
      <c r="F15" s="45" t="str">
        <f>IF($E15="","",IF(ISNA(VLOOKUP($E15,DD!$A$2:$C$150,2,0)),"NO SUCH DIVE",VLOOKUP($E15,DD!$A$2:$C$150,2,0)))</f>
        <v>Back somersault layout</v>
      </c>
      <c r="G15" s="46">
        <f>IF($E15="","",IF(ISNA(VLOOKUP($E15,DD!$A$2:$C$150,3,0)),"",VLOOKUP($E15,DD!$A$2:$C$150,3,0)))</f>
        <v>1.7</v>
      </c>
      <c r="H15" s="52">
        <v>7.5</v>
      </c>
      <c r="I15" s="52">
        <v>6.5</v>
      </c>
      <c r="J15" s="52">
        <v>6.5</v>
      </c>
      <c r="K15" s="52">
        <v>7.5</v>
      </c>
      <c r="L15" s="52">
        <v>7</v>
      </c>
      <c r="M15" s="50"/>
      <c r="N15" s="45">
        <f t="shared" si="0"/>
        <v>35.699999999999996</v>
      </c>
      <c r="O15" s="45">
        <f>IF(N15="","",N15+O14)</f>
        <v>142.04999999999998</v>
      </c>
      <c r="R15" s="53">
        <f>O71+0.000014</f>
        <v>1.4E-5</v>
      </c>
      <c r="S15" s="53">
        <f>B67</f>
        <v>0</v>
      </c>
      <c r="T15" s="53">
        <f>C67</f>
        <v>0</v>
      </c>
    </row>
    <row r="16" spans="1:20" x14ac:dyDescent="0.25">
      <c r="A16" s="97"/>
      <c r="B16" s="107"/>
      <c r="C16" s="106"/>
      <c r="D16" s="46">
        <v>5</v>
      </c>
      <c r="E16" s="62" t="s">
        <v>167</v>
      </c>
      <c r="F16" s="45" t="str">
        <f>IF($E16="","",IF(ISNA(VLOOKUP($E16,DD!$A$2:$C$150,2,0)),"NO SUCH DIVE",VLOOKUP($E16,DD!$A$2:$C$150,2,0)))</f>
        <v>Back somersault 1 ½ twist free</v>
      </c>
      <c r="G16" s="46">
        <f>IF($E16="","",IF(ISNA(VLOOKUP($E16,DD!$A$2:$C$150,3,0)),"",VLOOKUP($E16,DD!$A$2:$C$150,3,0)))</f>
        <v>2.2999999999999998</v>
      </c>
      <c r="H16" s="52">
        <v>6.5</v>
      </c>
      <c r="I16" s="52">
        <v>5.5</v>
      </c>
      <c r="J16" s="52">
        <v>7.5</v>
      </c>
      <c r="K16" s="52">
        <v>7</v>
      </c>
      <c r="L16" s="52">
        <v>6</v>
      </c>
      <c r="M16" s="50"/>
      <c r="N16" s="45">
        <f t="shared" si="0"/>
        <v>44.849999999999994</v>
      </c>
      <c r="O16" s="54">
        <f>IF(N16="",0,N16+O15)</f>
        <v>186.89999999999998</v>
      </c>
      <c r="R16" s="53">
        <f>O76+0.000015</f>
        <v>1.5E-5</v>
      </c>
      <c r="S16" s="53">
        <f>B72</f>
        <v>0</v>
      </c>
      <c r="T16" s="53">
        <f>C72</f>
        <v>0</v>
      </c>
    </row>
    <row r="17" spans="1:20" ht="15" customHeight="1" x14ac:dyDescent="0.25">
      <c r="A17" s="100">
        <v>4</v>
      </c>
      <c r="B17" s="101" t="s">
        <v>168</v>
      </c>
      <c r="C17" s="102" t="s">
        <v>49</v>
      </c>
      <c r="D17" s="55">
        <v>1</v>
      </c>
      <c r="E17" s="56" t="s">
        <v>118</v>
      </c>
      <c r="F17" s="57" t="str">
        <f>IF($E17="","",IF(ISNA(VLOOKUP($E17,DD!$A$2:$C$150,2,0)),"NO SUCH DIVE",VLOOKUP($E17,DD!$A$2:$C$150,2,0)))</f>
        <v>Front dive tuck</v>
      </c>
      <c r="G17" s="58">
        <f>IF($E17="","",IF(ISNA(VLOOKUP($E17,DD!$A$2:$C$150,3,0)),"",VLOOKUP($E17,DD!$A$2:$C$150,3,0)))</f>
        <v>1.3</v>
      </c>
      <c r="H17" s="59">
        <v>5.5</v>
      </c>
      <c r="I17" s="59">
        <v>6</v>
      </c>
      <c r="J17" s="59">
        <v>5</v>
      </c>
      <c r="K17" s="59">
        <v>6</v>
      </c>
      <c r="L17" s="59">
        <v>6.5</v>
      </c>
      <c r="M17" s="56"/>
      <c r="N17" s="57">
        <f t="shared" si="0"/>
        <v>22.75</v>
      </c>
      <c r="O17" s="57">
        <f>IF(N17="","",N17)</f>
        <v>22.75</v>
      </c>
      <c r="R17" s="53">
        <f>O81+0.000016</f>
        <v>1.5999999999999999E-5</v>
      </c>
      <c r="S17" s="53">
        <f>B77</f>
        <v>0</v>
      </c>
      <c r="T17" s="53">
        <f>C77</f>
        <v>0</v>
      </c>
    </row>
    <row r="18" spans="1:20" x14ac:dyDescent="0.25">
      <c r="A18" s="100"/>
      <c r="B18" s="101"/>
      <c r="C18" s="102"/>
      <c r="D18" s="55">
        <v>2</v>
      </c>
      <c r="E18" s="56" t="s">
        <v>115</v>
      </c>
      <c r="F18" s="57" t="str">
        <f>IF($E18="","",IF(ISNA(VLOOKUP($E18,DD!$A$2:$C$150,2,0)),"NO SUCH DIVE",VLOOKUP($E18,DD!$A$2:$C$150,2,0)))</f>
        <v>Back dive layout</v>
      </c>
      <c r="G18" s="58">
        <f>IF($E18="","",IF(ISNA(VLOOKUP($E18,DD!$A$2:$C$150,3,0)),"",VLOOKUP($E18,DD!$A$2:$C$150,3,0)))</f>
        <v>1.4</v>
      </c>
      <c r="H18" s="59">
        <v>3.5</v>
      </c>
      <c r="I18" s="59">
        <v>4</v>
      </c>
      <c r="J18" s="59">
        <v>4</v>
      </c>
      <c r="K18" s="59">
        <v>4</v>
      </c>
      <c r="L18" s="59">
        <v>5</v>
      </c>
      <c r="M18" s="56"/>
      <c r="N18" s="57">
        <f t="shared" si="0"/>
        <v>16.799999999999997</v>
      </c>
      <c r="O18" s="57">
        <f>IF(N18="","",N18+O17)</f>
        <v>39.549999999999997</v>
      </c>
      <c r="R18" s="53">
        <f>O86+0.000017</f>
        <v>1.7E-5</v>
      </c>
      <c r="S18" s="53">
        <f>B82</f>
        <v>0</v>
      </c>
      <c r="T18" s="53">
        <f>C82</f>
        <v>0</v>
      </c>
    </row>
    <row r="19" spans="1:20" x14ac:dyDescent="0.25">
      <c r="A19" s="100"/>
      <c r="B19" s="101"/>
      <c r="C19" s="102"/>
      <c r="D19" s="55">
        <v>3</v>
      </c>
      <c r="E19" s="56" t="s">
        <v>120</v>
      </c>
      <c r="F19" s="57" t="str">
        <f>IF($E19="","",IF(ISNA(VLOOKUP($E19,DD!$A$2:$C$150,2,0)),"NO SUCH DIVE",VLOOKUP($E19,DD!$A$2:$C$150,2,0)))</f>
        <v>Back dive ½ twist layout</v>
      </c>
      <c r="G19" s="58">
        <f>IF($E19="","",IF(ISNA(VLOOKUP($E19,DD!$A$2:$C$150,3,0)),"",VLOOKUP($E19,DD!$A$2:$C$150,3,0)))</f>
        <v>1.4</v>
      </c>
      <c r="H19" s="59">
        <v>6</v>
      </c>
      <c r="I19" s="59">
        <v>5</v>
      </c>
      <c r="J19" s="59">
        <v>4.5</v>
      </c>
      <c r="K19" s="59">
        <v>5</v>
      </c>
      <c r="L19" s="59">
        <v>5.5</v>
      </c>
      <c r="M19" s="56"/>
      <c r="N19" s="57">
        <f t="shared" si="0"/>
        <v>21.7</v>
      </c>
      <c r="O19" s="57">
        <f>IF(N19="","",N19+O18)</f>
        <v>61.25</v>
      </c>
      <c r="R19" s="53">
        <f>O91+0.000018</f>
        <v>1.8E-5</v>
      </c>
      <c r="S19" s="53">
        <f>B87</f>
        <v>0</v>
      </c>
      <c r="T19" s="53">
        <f>C87</f>
        <v>0</v>
      </c>
    </row>
    <row r="20" spans="1:20" x14ac:dyDescent="0.25">
      <c r="A20" s="100"/>
      <c r="B20" s="101"/>
      <c r="C20" s="102"/>
      <c r="D20" s="55">
        <v>4</v>
      </c>
      <c r="E20" s="56" t="s">
        <v>133</v>
      </c>
      <c r="F20" s="57" t="str">
        <f>IF($E20="","",IF(ISNA(VLOOKUP($E20,DD!$A$2:$C$150,2,0)),"NO SUCH DIVE",VLOOKUP($E20,DD!$A$2:$C$150,2,0)))</f>
        <v>Front somersault tuck</v>
      </c>
      <c r="G20" s="55">
        <f>IF($E20="","",IF(ISNA(VLOOKUP($E20,DD!$A$2:$C$150,3,0)),"",VLOOKUP($E20,DD!$A$2:$C$150,3,0)))</f>
        <v>1.4</v>
      </c>
      <c r="H20" s="59">
        <v>5</v>
      </c>
      <c r="I20" s="59">
        <v>4.5</v>
      </c>
      <c r="J20" s="59">
        <v>3</v>
      </c>
      <c r="K20" s="59">
        <v>4</v>
      </c>
      <c r="L20" s="59">
        <v>5</v>
      </c>
      <c r="M20" s="56"/>
      <c r="N20" s="57">
        <f t="shared" si="0"/>
        <v>18.899999999999999</v>
      </c>
      <c r="O20" s="57">
        <f>IF(N20="","",N20+O19)</f>
        <v>80.150000000000006</v>
      </c>
      <c r="R20" s="53">
        <f>O96+0.000019</f>
        <v>1.9000000000000001E-5</v>
      </c>
      <c r="S20" s="53">
        <f>B92</f>
        <v>0</v>
      </c>
      <c r="T20" s="53">
        <f>C92</f>
        <v>0</v>
      </c>
    </row>
    <row r="21" spans="1:20" x14ac:dyDescent="0.25">
      <c r="A21" s="100"/>
      <c r="B21" s="101"/>
      <c r="C21" s="102"/>
      <c r="D21" s="55">
        <v>5</v>
      </c>
      <c r="E21" s="56" t="s">
        <v>132</v>
      </c>
      <c r="F21" s="57" t="str">
        <f>IF($E21="","",IF(ISNA(VLOOKUP($E21,DD!$A$2:$C$150,2,0)),"NO SUCH DIVE",VLOOKUP($E21,DD!$A$2:$C$150,2,0)))</f>
        <v>Back somersault layout</v>
      </c>
      <c r="G21" s="55">
        <f>IF($E21="","",IF(ISNA(VLOOKUP($E21,DD!$A$2:$C$150,3,0)),"",VLOOKUP($E21,DD!$A$2:$C$150,3,0)))</f>
        <v>1.7</v>
      </c>
      <c r="H21" s="59">
        <v>3</v>
      </c>
      <c r="I21" s="59">
        <v>4.5</v>
      </c>
      <c r="J21" s="59">
        <v>5</v>
      </c>
      <c r="K21" s="59">
        <v>3</v>
      </c>
      <c r="L21" s="59">
        <v>5</v>
      </c>
      <c r="M21" s="56"/>
      <c r="N21" s="57">
        <f t="shared" si="0"/>
        <v>21.25</v>
      </c>
      <c r="O21" s="60">
        <f>IF(N21="",0,N21+O20)</f>
        <v>101.4</v>
      </c>
      <c r="R21" s="53">
        <f>O101+0.00002</f>
        <v>2.0000000000000002E-5</v>
      </c>
      <c r="S21" s="53">
        <f>B97</f>
        <v>0</v>
      </c>
      <c r="T21" s="53">
        <f>C97</f>
        <v>0</v>
      </c>
    </row>
    <row r="22" spans="1:20" ht="15" customHeight="1" x14ac:dyDescent="0.25">
      <c r="A22" s="97">
        <v>5</v>
      </c>
      <c r="B22" s="107" t="s">
        <v>169</v>
      </c>
      <c r="C22" s="106" t="s">
        <v>52</v>
      </c>
      <c r="D22" s="46">
        <v>1</v>
      </c>
      <c r="E22" s="50" t="s">
        <v>54</v>
      </c>
      <c r="F22" s="45" t="str">
        <f>IF($E22="","",IF(ISNA(VLOOKUP($E22,DD!$A$2:$C$150,2,0)),"NO SUCH DIVE",VLOOKUP($E22,DD!$A$2:$C$150,2,0)))</f>
        <v>Front dive layout</v>
      </c>
      <c r="G22" s="51">
        <f>IF($E22="","",IF(ISNA(VLOOKUP($E22,DD!$A$2:$C$150,3,0)),"",VLOOKUP($E22,DD!$A$2:$C$150,3,0)))</f>
        <v>1.3</v>
      </c>
      <c r="H22" s="52">
        <v>4.5</v>
      </c>
      <c r="I22" s="52">
        <v>4</v>
      </c>
      <c r="J22" s="52">
        <v>4.5</v>
      </c>
      <c r="K22" s="52">
        <v>4.5</v>
      </c>
      <c r="L22" s="52">
        <v>4.5</v>
      </c>
      <c r="M22" s="50"/>
      <c r="N22" s="45">
        <f t="shared" si="0"/>
        <v>17.55</v>
      </c>
      <c r="O22" s="45">
        <f>IF(N22="","",N22)</f>
        <v>17.55</v>
      </c>
      <c r="R22" s="53">
        <f>O106+0.000021</f>
        <v>2.0999999999999999E-5</v>
      </c>
      <c r="S22" s="53">
        <f>B102</f>
        <v>0</v>
      </c>
      <c r="T22" s="53">
        <f>C102</f>
        <v>0</v>
      </c>
    </row>
    <row r="23" spans="1:20" x14ac:dyDescent="0.25">
      <c r="A23" s="97"/>
      <c r="B23" s="107"/>
      <c r="C23" s="106"/>
      <c r="D23" s="46">
        <v>2</v>
      </c>
      <c r="E23" s="50" t="s">
        <v>58</v>
      </c>
      <c r="F23" s="45" t="str">
        <f>IF($E23="","",IF(ISNA(VLOOKUP($E23,DD!$A$2:$C$150,2,0)),"NO SUCH DIVE",VLOOKUP($E23,DD!$A$2:$C$150,2,0)))</f>
        <v>Back dive layout</v>
      </c>
      <c r="G23" s="51">
        <f>IF($E23="","",IF(ISNA(VLOOKUP($E23,DD!$A$2:$C$150,3,0)),"",VLOOKUP($E23,DD!$A$2:$C$150,3,0)))</f>
        <v>1.4</v>
      </c>
      <c r="H23" s="52">
        <v>4</v>
      </c>
      <c r="I23" s="52">
        <v>5</v>
      </c>
      <c r="J23" s="52">
        <v>5.5</v>
      </c>
      <c r="K23" s="52">
        <v>5.5</v>
      </c>
      <c r="L23" s="52">
        <v>5.5</v>
      </c>
      <c r="M23" s="50"/>
      <c r="N23" s="45">
        <f t="shared" si="0"/>
        <v>22.4</v>
      </c>
      <c r="O23" s="45">
        <f>IF(N23="","",N23+O22)</f>
        <v>39.950000000000003</v>
      </c>
      <c r="R23" s="53">
        <f>O111+0.000022</f>
        <v>2.1999999999999999E-5</v>
      </c>
      <c r="S23" s="53">
        <f>B107</f>
        <v>0</v>
      </c>
      <c r="T23" s="53">
        <f>C107</f>
        <v>0</v>
      </c>
    </row>
    <row r="24" spans="1:20" x14ac:dyDescent="0.25">
      <c r="A24" s="97"/>
      <c r="B24" s="107"/>
      <c r="C24" s="106"/>
      <c r="D24" s="46">
        <v>3</v>
      </c>
      <c r="E24" s="50" t="s">
        <v>64</v>
      </c>
      <c r="F24" s="45" t="str">
        <f>IF($E24="","",IF(ISNA(VLOOKUP($E24,DD!$A$2:$C$150,2,0)),"NO SUCH DIVE",VLOOKUP($E24,DD!$A$2:$C$150,2,0)))</f>
        <v>Back dive ½ twist layout</v>
      </c>
      <c r="G24" s="51">
        <f>IF($E24="","",IF(ISNA(VLOOKUP($E24,DD!$A$2:$C$150,3,0)),"",VLOOKUP($E24,DD!$A$2:$C$150,3,0)))</f>
        <v>1.4</v>
      </c>
      <c r="H24" s="52">
        <v>4.5</v>
      </c>
      <c r="I24" s="52">
        <v>4.5</v>
      </c>
      <c r="J24" s="52">
        <v>4.5</v>
      </c>
      <c r="K24" s="52">
        <v>4.5</v>
      </c>
      <c r="L24" s="52">
        <v>4.5</v>
      </c>
      <c r="M24" s="50"/>
      <c r="N24" s="45">
        <f t="shared" si="0"/>
        <v>18.899999999999999</v>
      </c>
      <c r="O24" s="45">
        <f>IF(N24="","",N24+O23)</f>
        <v>58.85</v>
      </c>
      <c r="R24" s="53">
        <f>O116+0.000023</f>
        <v>2.3E-5</v>
      </c>
      <c r="S24" s="53">
        <f>B112</f>
        <v>0</v>
      </c>
      <c r="T24" s="53">
        <f>C112</f>
        <v>0</v>
      </c>
    </row>
    <row r="25" spans="1:20" x14ac:dyDescent="0.25">
      <c r="A25" s="97"/>
      <c r="B25" s="107"/>
      <c r="C25" s="106"/>
      <c r="D25" s="46">
        <v>4</v>
      </c>
      <c r="E25" s="50" t="s">
        <v>72</v>
      </c>
      <c r="F25" s="45" t="str">
        <f>IF($E25="","",IF(ISNA(VLOOKUP($E25,DD!$A$2:$C$150,2,0)),"NO SUCH DIVE",VLOOKUP($E25,DD!$A$2:$C$150,2,0)))</f>
        <v>Front somersault tuck</v>
      </c>
      <c r="G25" s="46">
        <f>IF($E25="","",IF(ISNA(VLOOKUP($E25,DD!$A$2:$C$150,3,0)),"",VLOOKUP($E25,DD!$A$2:$C$150,3,0)))</f>
        <v>1.4</v>
      </c>
      <c r="H25" s="52">
        <v>3</v>
      </c>
      <c r="I25" s="52">
        <v>3</v>
      </c>
      <c r="J25" s="52">
        <v>3</v>
      </c>
      <c r="K25" s="52">
        <v>3</v>
      </c>
      <c r="L25" s="52">
        <v>3</v>
      </c>
      <c r="M25" s="50"/>
      <c r="N25" s="45">
        <f t="shared" si="0"/>
        <v>12.6</v>
      </c>
      <c r="O25" s="45">
        <f>IF(N25="","",N25+O24)</f>
        <v>71.45</v>
      </c>
      <c r="R25" s="53">
        <f>O121+0.000024</f>
        <v>2.4000000000000001E-5</v>
      </c>
      <c r="S25" s="53">
        <f>B117</f>
        <v>0</v>
      </c>
      <c r="T25" s="53">
        <f>C117</f>
        <v>0</v>
      </c>
    </row>
    <row r="26" spans="1:20" x14ac:dyDescent="0.25">
      <c r="A26" s="97"/>
      <c r="B26" s="107"/>
      <c r="C26" s="106"/>
      <c r="D26" s="46">
        <v>5</v>
      </c>
      <c r="E26" s="50" t="s">
        <v>170</v>
      </c>
      <c r="F26" s="45" t="str">
        <f>IF($E26="","",IF(ISNA(VLOOKUP($E26,DD!$A$2:$C$150,2,0)),"NO SUCH DIVE",VLOOKUP($E26,DD!$A$2:$C$150,2,0)))</f>
        <v>Front dive ½ twist layout</v>
      </c>
      <c r="G26" s="46">
        <f>IF($E26="","",IF(ISNA(VLOOKUP($E26,DD!$A$2:$C$150,3,0)),"",VLOOKUP($E26,DD!$A$2:$C$150,3,0)))</f>
        <v>1.4</v>
      </c>
      <c r="H26" s="52">
        <v>3.5</v>
      </c>
      <c r="I26" s="52">
        <v>4</v>
      </c>
      <c r="J26" s="52">
        <v>4.5</v>
      </c>
      <c r="K26" s="52">
        <v>3</v>
      </c>
      <c r="L26" s="52">
        <v>4</v>
      </c>
      <c r="M26" s="50"/>
      <c r="N26" s="45">
        <f t="shared" si="0"/>
        <v>16.099999999999998</v>
      </c>
      <c r="O26" s="54">
        <f>IF(N26="",0,N26+O25)</f>
        <v>87.55</v>
      </c>
      <c r="R26" s="53">
        <v>0</v>
      </c>
    </row>
    <row r="27" spans="1:20" ht="15" customHeight="1" x14ac:dyDescent="0.25">
      <c r="A27" s="100">
        <v>6</v>
      </c>
      <c r="B27" s="101" t="s">
        <v>171</v>
      </c>
      <c r="C27" s="102" t="s">
        <v>76</v>
      </c>
      <c r="D27" s="55">
        <v>1</v>
      </c>
      <c r="E27" s="56" t="s">
        <v>131</v>
      </c>
      <c r="F27" s="57" t="str">
        <f>IF($E27="","",IF(ISNA(VLOOKUP($E27,DD!$A$2:$C$150,2,0)),"NO SUCH DIVE",VLOOKUP($E27,DD!$A$2:$C$150,2,0)))</f>
        <v>Front dive pike</v>
      </c>
      <c r="G27" s="58">
        <f>IF($E27="","",IF(ISNA(VLOOKUP($E27,DD!$A$2:$C$150,3,0)),"",VLOOKUP($E27,DD!$A$2:$C$150,3,0)))</f>
        <v>1.3</v>
      </c>
      <c r="H27" s="59">
        <v>7</v>
      </c>
      <c r="I27" s="59">
        <v>6</v>
      </c>
      <c r="J27" s="59">
        <v>6.5</v>
      </c>
      <c r="K27" s="59">
        <v>6.5</v>
      </c>
      <c r="L27" s="59">
        <v>7</v>
      </c>
      <c r="M27" s="56"/>
      <c r="N27" s="57">
        <f t="shared" si="0"/>
        <v>26</v>
      </c>
      <c r="O27" s="57">
        <f>IF(N27="","",N27)</f>
        <v>26</v>
      </c>
    </row>
    <row r="28" spans="1:20" x14ac:dyDescent="0.25">
      <c r="A28" s="100"/>
      <c r="B28" s="101"/>
      <c r="C28" s="102"/>
      <c r="D28" s="55">
        <v>2</v>
      </c>
      <c r="E28" s="56" t="s">
        <v>115</v>
      </c>
      <c r="F28" s="57" t="str">
        <f>IF($E28="","",IF(ISNA(VLOOKUP($E28,DD!$A$2:$C$150,2,0)),"NO SUCH DIVE",VLOOKUP($E28,DD!$A$2:$C$150,2,0)))</f>
        <v>Back dive layout</v>
      </c>
      <c r="G28" s="58">
        <f>IF($E28="","",IF(ISNA(VLOOKUP($E28,DD!$A$2:$C$150,3,0)),"",VLOOKUP($E28,DD!$A$2:$C$150,3,0)))</f>
        <v>1.4</v>
      </c>
      <c r="H28" s="59">
        <v>5.5</v>
      </c>
      <c r="I28" s="59">
        <v>5.5</v>
      </c>
      <c r="J28" s="59">
        <v>6.5</v>
      </c>
      <c r="K28" s="59">
        <v>6.5</v>
      </c>
      <c r="L28" s="59">
        <v>5.5</v>
      </c>
      <c r="M28" s="56"/>
      <c r="N28" s="57">
        <f t="shared" si="0"/>
        <v>24.5</v>
      </c>
      <c r="O28" s="57">
        <f>IF(N28="","",N28+O27)</f>
        <v>50.5</v>
      </c>
    </row>
    <row r="29" spans="1:20" x14ac:dyDescent="0.25">
      <c r="A29" s="100"/>
      <c r="B29" s="101"/>
      <c r="C29" s="102"/>
      <c r="D29" s="55">
        <v>3</v>
      </c>
      <c r="E29" s="56" t="s">
        <v>165</v>
      </c>
      <c r="F29" s="57" t="str">
        <f>IF($E29="","",IF(ISNA(VLOOKUP($E29,DD!$A$2:$C$150,2,0)),"NO SUCH DIVE",VLOOKUP($E29,DD!$A$2:$C$150,2,0)))</f>
        <v>Inward dive pike</v>
      </c>
      <c r="G29" s="58">
        <f>IF($E29="","",IF(ISNA(VLOOKUP($E29,DD!$A$2:$C$150,3,0)),"",VLOOKUP($E29,DD!$A$2:$C$150,3,0)))</f>
        <v>1.5</v>
      </c>
      <c r="H29" s="59">
        <v>7</v>
      </c>
      <c r="I29" s="59">
        <v>6.5</v>
      </c>
      <c r="J29" s="59">
        <v>7.5</v>
      </c>
      <c r="K29" s="59">
        <v>7.5</v>
      </c>
      <c r="L29" s="59">
        <v>6.5</v>
      </c>
      <c r="M29" s="56"/>
      <c r="N29" s="57">
        <f t="shared" si="0"/>
        <v>31.5</v>
      </c>
      <c r="O29" s="57">
        <f>IF(N29="","",N29+O28)</f>
        <v>82</v>
      </c>
    </row>
    <row r="30" spans="1:20" x14ac:dyDescent="0.25">
      <c r="A30" s="100"/>
      <c r="B30" s="101"/>
      <c r="C30" s="102"/>
      <c r="D30" s="55">
        <v>4</v>
      </c>
      <c r="E30" s="61" t="s">
        <v>172</v>
      </c>
      <c r="F30" s="57" t="str">
        <f>IF($E30="","",IF(ISNA(VLOOKUP($E30,DD!$A$2:$C$150,2,0)),"NO SUCH DIVE",VLOOKUP($E30,DD!$A$2:$C$150,2,0)))</f>
        <v>Front dive ½ twist layout</v>
      </c>
      <c r="G30" s="55">
        <f>IF($E30="","",IF(ISNA(VLOOKUP($E30,DD!$A$2:$C$150,3,0)),"",VLOOKUP($E30,DD!$A$2:$C$150,3,0)))</f>
        <v>1.4</v>
      </c>
      <c r="H30" s="59">
        <v>5.5</v>
      </c>
      <c r="I30" s="59">
        <v>5.5</v>
      </c>
      <c r="J30" s="59">
        <v>6.5</v>
      </c>
      <c r="K30" s="59">
        <v>6</v>
      </c>
      <c r="L30" s="59">
        <v>5.5</v>
      </c>
      <c r="M30" s="56"/>
      <c r="N30" s="57">
        <f t="shared" si="0"/>
        <v>23.799999999999997</v>
      </c>
      <c r="O30" s="57">
        <f>IF(N30="","",N30+O29)</f>
        <v>105.8</v>
      </c>
    </row>
    <row r="31" spans="1:20" x14ac:dyDescent="0.25">
      <c r="A31" s="100"/>
      <c r="B31" s="101"/>
      <c r="C31" s="102"/>
      <c r="D31" s="55">
        <v>5</v>
      </c>
      <c r="E31" s="56" t="s">
        <v>132</v>
      </c>
      <c r="F31" s="57" t="str">
        <f>IF($E31="","",IF(ISNA(VLOOKUP($E31,DD!$A$2:$C$150,2,0)),"NO SUCH DIVE",VLOOKUP($E31,DD!$A$2:$C$150,2,0)))</f>
        <v>Back somersault layout</v>
      </c>
      <c r="G31" s="55">
        <f>IF($E31="","",IF(ISNA(VLOOKUP($E31,DD!$A$2:$C$150,3,0)),"",VLOOKUP($E31,DD!$A$2:$C$150,3,0)))</f>
        <v>1.7</v>
      </c>
      <c r="H31" s="59">
        <v>5</v>
      </c>
      <c r="I31" s="59">
        <v>6</v>
      </c>
      <c r="J31" s="59">
        <v>6</v>
      </c>
      <c r="K31" s="59">
        <v>6.5</v>
      </c>
      <c r="L31" s="59">
        <v>5</v>
      </c>
      <c r="M31" s="56"/>
      <c r="N31" s="57">
        <f t="shared" si="0"/>
        <v>28.9</v>
      </c>
      <c r="O31" s="60">
        <f>IF(N31="",0,N31+O30)</f>
        <v>134.69999999999999</v>
      </c>
    </row>
    <row r="32" spans="1:20" ht="13.9" customHeight="1" x14ac:dyDescent="0.25">
      <c r="A32" s="97">
        <v>7</v>
      </c>
      <c r="B32" s="107" t="s">
        <v>173</v>
      </c>
      <c r="C32" s="106" t="s">
        <v>57</v>
      </c>
      <c r="D32" s="46">
        <v>1</v>
      </c>
      <c r="E32" s="50" t="s">
        <v>54</v>
      </c>
      <c r="F32" s="45" t="str">
        <f>IF($E32="","",IF(ISNA(VLOOKUP($E32,DD!$A$2:$C$150,2,0)),"NO SUCH DIVE",VLOOKUP($E32,DD!$A$2:$C$150,2,0)))</f>
        <v>Front dive layout</v>
      </c>
      <c r="G32" s="51">
        <f>IF($E32="","",IF(ISNA(VLOOKUP($E32,DD!$A$2:$C$150,3,0)),"",VLOOKUP($E32,DD!$A$2:$C$150,3,0)))</f>
        <v>1.3</v>
      </c>
      <c r="H32" s="52">
        <v>5.5</v>
      </c>
      <c r="I32" s="52">
        <v>6</v>
      </c>
      <c r="J32" s="52">
        <v>5.5</v>
      </c>
      <c r="K32" s="52">
        <v>5.5</v>
      </c>
      <c r="L32" s="52">
        <v>6</v>
      </c>
      <c r="M32" s="50"/>
      <c r="N32" s="45">
        <f t="shared" si="0"/>
        <v>22.1</v>
      </c>
      <c r="O32" s="45">
        <f>IF(N32="","",N32)</f>
        <v>22.1</v>
      </c>
    </row>
    <row r="33" spans="1:15" x14ac:dyDescent="0.25">
      <c r="A33" s="97"/>
      <c r="B33" s="107"/>
      <c r="C33" s="106"/>
      <c r="D33" s="46">
        <v>2</v>
      </c>
      <c r="E33" s="62" t="s">
        <v>58</v>
      </c>
      <c r="F33" s="45" t="str">
        <f>IF($E33="","",IF(ISNA(VLOOKUP($E33,DD!$A$2:$C$150,2,0)),"NO SUCH DIVE",VLOOKUP($E33,DD!$A$2:$C$150,2,0)))</f>
        <v>Back dive layout</v>
      </c>
      <c r="G33" s="51">
        <f>IF($E33="","",IF(ISNA(VLOOKUP($E33,DD!$A$2:$C$150,3,0)),"",VLOOKUP($E33,DD!$A$2:$C$150,3,0)))</f>
        <v>1.4</v>
      </c>
      <c r="H33" s="52">
        <v>4.5</v>
      </c>
      <c r="I33" s="52">
        <v>4.5</v>
      </c>
      <c r="J33" s="52">
        <v>5.5</v>
      </c>
      <c r="K33" s="52">
        <v>5</v>
      </c>
      <c r="L33" s="52">
        <v>5</v>
      </c>
      <c r="M33" s="50"/>
      <c r="N33" s="45">
        <f t="shared" si="0"/>
        <v>20.299999999999997</v>
      </c>
      <c r="O33" s="45">
        <f>IF(N33="","",N33+O32)</f>
        <v>42.4</v>
      </c>
    </row>
    <row r="34" spans="1:15" x14ac:dyDescent="0.25">
      <c r="A34" s="97"/>
      <c r="B34" s="107"/>
      <c r="C34" s="106"/>
      <c r="D34" s="46">
        <v>3</v>
      </c>
      <c r="E34" s="62" t="s">
        <v>64</v>
      </c>
      <c r="F34" s="45" t="str">
        <f>IF($E34="","",IF(ISNA(VLOOKUP($E34,DD!$A$2:$C$150,2,0)),"NO SUCH DIVE",VLOOKUP($E34,DD!$A$2:$C$150,2,0)))</f>
        <v>Back dive ½ twist layout</v>
      </c>
      <c r="G34" s="51">
        <f>IF($E34="","",IF(ISNA(VLOOKUP($E34,DD!$A$2:$C$150,3,0)),"",VLOOKUP($E34,DD!$A$2:$C$150,3,0)))</f>
        <v>1.4</v>
      </c>
      <c r="H34" s="52">
        <v>4</v>
      </c>
      <c r="I34" s="52">
        <v>4.5</v>
      </c>
      <c r="J34" s="52">
        <v>4.5</v>
      </c>
      <c r="K34" s="52">
        <v>4</v>
      </c>
      <c r="L34" s="52">
        <v>4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17.5</v>
      </c>
      <c r="O34" s="45">
        <f>IF(N34="","",N34+O33)</f>
        <v>59.9</v>
      </c>
    </row>
    <row r="35" spans="1:15" x14ac:dyDescent="0.25">
      <c r="A35" s="97"/>
      <c r="B35" s="107"/>
      <c r="C35" s="106"/>
      <c r="D35" s="46">
        <v>4</v>
      </c>
      <c r="E35" s="62" t="s">
        <v>170</v>
      </c>
      <c r="F35" s="45" t="str">
        <f>IF($E35="","",IF(ISNA(VLOOKUP($E35,DD!$A$2:$C$150,2,0)),"NO SUCH DIVE",VLOOKUP($E35,DD!$A$2:$C$150,2,0)))</f>
        <v>Front dive ½ twist layout</v>
      </c>
      <c r="G35" s="46">
        <f>IF($E35="","",IF(ISNA(VLOOKUP($E35,DD!$A$2:$C$150,3,0)),"",VLOOKUP($E35,DD!$A$2:$C$150,3,0)))</f>
        <v>1.4</v>
      </c>
      <c r="H35" s="52">
        <v>4.5</v>
      </c>
      <c r="I35" s="52">
        <v>4.5</v>
      </c>
      <c r="J35" s="52">
        <v>5</v>
      </c>
      <c r="K35" s="52">
        <v>4.5</v>
      </c>
      <c r="L35" s="52">
        <v>4</v>
      </c>
      <c r="M35" s="50"/>
      <c r="N35" s="45">
        <f t="shared" si="1"/>
        <v>18.899999999999999</v>
      </c>
      <c r="O35" s="45">
        <f>IF(N35="","",N35+O34)</f>
        <v>78.8</v>
      </c>
    </row>
    <row r="36" spans="1:15" x14ac:dyDescent="0.25">
      <c r="A36" s="97"/>
      <c r="B36" s="107"/>
      <c r="C36" s="106"/>
      <c r="D36" s="46">
        <v>5</v>
      </c>
      <c r="E36" s="50" t="s">
        <v>72</v>
      </c>
      <c r="F36" s="45" t="str">
        <f>IF($E36="","",IF(ISNA(VLOOKUP($E36,DD!$A$2:$C$150,2,0)),"NO SUCH DIVE",VLOOKUP($E36,DD!$A$2:$C$150,2,0)))</f>
        <v>Front somersault tuck</v>
      </c>
      <c r="G36" s="46">
        <f>IF($E36="","",IF(ISNA(VLOOKUP($E36,DD!$A$2:$C$150,3,0)),"",VLOOKUP($E36,DD!$A$2:$C$150,3,0)))</f>
        <v>1.4</v>
      </c>
      <c r="H36" s="52">
        <v>3</v>
      </c>
      <c r="I36" s="52">
        <v>3</v>
      </c>
      <c r="J36" s="52">
        <v>3</v>
      </c>
      <c r="K36" s="52">
        <v>3</v>
      </c>
      <c r="L36" s="52">
        <v>3</v>
      </c>
      <c r="M36" s="50"/>
      <c r="N36" s="45">
        <f t="shared" si="1"/>
        <v>12.6</v>
      </c>
      <c r="O36" s="54">
        <f>IF(N36="",0,N36+O35)</f>
        <v>91.399999999999991</v>
      </c>
    </row>
    <row r="37" spans="1:15" ht="15" customHeight="1" x14ac:dyDescent="0.25">
      <c r="A37" s="100">
        <v>8</v>
      </c>
      <c r="B37" s="101" t="s">
        <v>174</v>
      </c>
      <c r="C37" s="102" t="s">
        <v>88</v>
      </c>
      <c r="D37" s="55">
        <v>1</v>
      </c>
      <c r="E37" s="56" t="s">
        <v>164</v>
      </c>
      <c r="F37" s="57" t="str">
        <f>IF($E37="","",IF(ISNA(VLOOKUP($E37,DD!$A$2:$C$150,2,0)),"NO SUCH DIVE",VLOOKUP($E37,DD!$A$2:$C$150,2,0)))</f>
        <v>Front somersault layout</v>
      </c>
      <c r="G37" s="58">
        <f>IF($E37="","",IF(ISNA(VLOOKUP($E37,DD!$A$2:$C$150,3,0)),"",VLOOKUP($E37,DD!$A$2:$C$150,3,0)))</f>
        <v>1.6</v>
      </c>
      <c r="H37" s="59">
        <v>6</v>
      </c>
      <c r="I37" s="59">
        <v>5.5</v>
      </c>
      <c r="J37" s="59">
        <v>5</v>
      </c>
      <c r="K37" s="59">
        <v>5</v>
      </c>
      <c r="L37" s="59">
        <v>6</v>
      </c>
      <c r="M37" s="56"/>
      <c r="N37" s="57">
        <f t="shared" si="1"/>
        <v>26.400000000000002</v>
      </c>
      <c r="O37" s="57">
        <f>IF(N37="","",N37)</f>
        <v>26.400000000000002</v>
      </c>
    </row>
    <row r="38" spans="1:15" x14ac:dyDescent="0.25">
      <c r="A38" s="100"/>
      <c r="B38" s="101"/>
      <c r="C38" s="102"/>
      <c r="D38" s="55">
        <v>2</v>
      </c>
      <c r="E38" s="56" t="s">
        <v>166</v>
      </c>
      <c r="F38" s="57" t="str">
        <f>IF($E38="","",IF(ISNA(VLOOKUP($E38,DD!$A$2:$C$150,2,0)),"NO SUCH DIVE",VLOOKUP($E38,DD!$A$2:$C$150,2,0)))</f>
        <v>Front somersault full twist free</v>
      </c>
      <c r="G38" s="58">
        <f>IF($E38="","",IF(ISNA(VLOOKUP($E38,DD!$A$2:$C$150,3,0)),"",VLOOKUP($E38,DD!$A$2:$C$150,3,0)))</f>
        <v>1.9</v>
      </c>
      <c r="H38" s="59">
        <v>5.5</v>
      </c>
      <c r="I38" s="59">
        <v>5</v>
      </c>
      <c r="J38" s="59">
        <v>4.5</v>
      </c>
      <c r="K38" s="59">
        <v>5.5</v>
      </c>
      <c r="L38" s="59">
        <v>5.5</v>
      </c>
      <c r="M38" s="56"/>
      <c r="N38" s="57">
        <f t="shared" si="1"/>
        <v>30.4</v>
      </c>
      <c r="O38" s="57">
        <f>IF(N38="","",N38+O37)</f>
        <v>56.8</v>
      </c>
    </row>
    <row r="39" spans="1:15" x14ac:dyDescent="0.25">
      <c r="A39" s="100"/>
      <c r="B39" s="101"/>
      <c r="C39" s="102"/>
      <c r="D39" s="55">
        <v>3</v>
      </c>
      <c r="E39" s="56" t="s">
        <v>132</v>
      </c>
      <c r="F39" s="57" t="str">
        <f>IF($E39="","",IF(ISNA(VLOOKUP($E39,DD!$A$2:$C$150,2,0)),"NO SUCH DIVE",VLOOKUP($E39,DD!$A$2:$C$150,2,0)))</f>
        <v>Back somersault layout</v>
      </c>
      <c r="G39" s="58">
        <f>IF($E39="","",IF(ISNA(VLOOKUP($E39,DD!$A$2:$C$150,3,0)),"",VLOOKUP($E39,DD!$A$2:$C$150,3,0)))</f>
        <v>1.7</v>
      </c>
      <c r="H39" s="59">
        <v>6.5</v>
      </c>
      <c r="I39" s="59">
        <v>6.5</v>
      </c>
      <c r="J39" s="59">
        <v>6.5</v>
      </c>
      <c r="K39" s="59">
        <v>6.5</v>
      </c>
      <c r="L39" s="59">
        <v>6.5</v>
      </c>
      <c r="M39" s="56"/>
      <c r="N39" s="57">
        <f t="shared" si="1"/>
        <v>33.15</v>
      </c>
      <c r="O39" s="57">
        <f>IF(N39="","",N39+O38)</f>
        <v>89.949999999999989</v>
      </c>
    </row>
    <row r="40" spans="1:15" x14ac:dyDescent="0.25">
      <c r="A40" s="100"/>
      <c r="B40" s="101"/>
      <c r="C40" s="102"/>
      <c r="D40" s="55">
        <v>4</v>
      </c>
      <c r="E40" s="56" t="s">
        <v>175</v>
      </c>
      <c r="F40" s="57" t="str">
        <f>IF($E40="","",IF(ISNA(VLOOKUP($E40,DD!$A$2:$C$150,2,0)),"NO SUCH DIVE",VLOOKUP($E40,DD!$A$2:$C$150,2,0)))</f>
        <v>Back somersault ½ twist free</v>
      </c>
      <c r="G40" s="55">
        <f>IF($E40="","",IF(ISNA(VLOOKUP($E40,DD!$A$2:$C$150,3,0)),"",VLOOKUP($E40,DD!$A$2:$C$150,3,0)))</f>
        <v>1.7</v>
      </c>
      <c r="H40" s="59">
        <v>6</v>
      </c>
      <c r="I40" s="59">
        <v>6.5</v>
      </c>
      <c r="J40" s="59">
        <v>6.5</v>
      </c>
      <c r="K40" s="59">
        <v>6</v>
      </c>
      <c r="L40" s="59">
        <v>6</v>
      </c>
      <c r="M40" s="56"/>
      <c r="N40" s="57">
        <f t="shared" si="1"/>
        <v>31.45</v>
      </c>
      <c r="O40" s="57">
        <f>IF(N40="","",N40+O39)</f>
        <v>121.39999999999999</v>
      </c>
    </row>
    <row r="41" spans="1:15" x14ac:dyDescent="0.25">
      <c r="A41" s="100"/>
      <c r="B41" s="101"/>
      <c r="C41" s="102"/>
      <c r="D41" s="55">
        <v>5</v>
      </c>
      <c r="E41" s="56" t="s">
        <v>118</v>
      </c>
      <c r="F41" s="57" t="str">
        <f>IF($E41="","",IF(ISNA(VLOOKUP($E41,DD!$A$2:$C$150,2,0)),"NO SUCH DIVE",VLOOKUP($E41,DD!$A$2:$C$150,2,0)))</f>
        <v>Front dive tuck</v>
      </c>
      <c r="G41" s="55">
        <f>IF($E41="","",IF(ISNA(VLOOKUP($E41,DD!$A$2:$C$150,3,0)),"",VLOOKUP($E41,DD!$A$2:$C$150,3,0)))</f>
        <v>1.3</v>
      </c>
      <c r="H41" s="59">
        <v>5.5</v>
      </c>
      <c r="I41" s="59">
        <v>5</v>
      </c>
      <c r="J41" s="59">
        <v>6.5</v>
      </c>
      <c r="K41" s="59">
        <v>6</v>
      </c>
      <c r="L41" s="59">
        <v>5.5</v>
      </c>
      <c r="M41" s="56"/>
      <c r="N41" s="57">
        <f t="shared" si="1"/>
        <v>22.1</v>
      </c>
      <c r="O41" s="60">
        <f>IF(N41="",0,N41+O40)</f>
        <v>143.5</v>
      </c>
    </row>
    <row r="42" spans="1:15" ht="15" customHeight="1" x14ac:dyDescent="0.25">
      <c r="A42" s="97">
        <v>9</v>
      </c>
      <c r="B42" s="107" t="s">
        <v>176</v>
      </c>
      <c r="C42" s="106" t="s">
        <v>57</v>
      </c>
      <c r="D42" s="46">
        <v>1</v>
      </c>
      <c r="E42" s="50" t="s">
        <v>54</v>
      </c>
      <c r="F42" s="45" t="str">
        <f>IF($E42="","",IF(ISNA(VLOOKUP($E42,DD!$A$2:$C$150,2,0)),"NO SUCH DIVE",VLOOKUP($E42,DD!$A$2:$C$150,2,0)))</f>
        <v>Front dive layout</v>
      </c>
      <c r="G42" s="51">
        <f>IF($E42="","",IF(ISNA(VLOOKUP($E42,DD!$A$2:$C$150,3,0)),"",VLOOKUP($E42,DD!$A$2:$C$150,3,0)))</f>
        <v>1.3</v>
      </c>
      <c r="H42" s="52">
        <v>6</v>
      </c>
      <c r="I42" s="52">
        <v>6.5</v>
      </c>
      <c r="J42" s="52">
        <v>5.5</v>
      </c>
      <c r="K42" s="52">
        <v>6.5</v>
      </c>
      <c r="L42" s="52">
        <v>6.5</v>
      </c>
      <c r="M42" s="50"/>
      <c r="N42" s="45">
        <f t="shared" si="1"/>
        <v>24.7</v>
      </c>
      <c r="O42" s="45">
        <f>IF(N42="","",N42)</f>
        <v>24.7</v>
      </c>
    </row>
    <row r="43" spans="1:15" x14ac:dyDescent="0.25">
      <c r="A43" s="97"/>
      <c r="B43" s="107"/>
      <c r="C43" s="106"/>
      <c r="D43" s="46">
        <v>2</v>
      </c>
      <c r="E43" s="50" t="s">
        <v>58</v>
      </c>
      <c r="F43" s="45" t="str">
        <f>IF($E43="","",IF(ISNA(VLOOKUP($E43,DD!$A$2:$C$150,2,0)),"NO SUCH DIVE",VLOOKUP($E43,DD!$A$2:$C$150,2,0)))</f>
        <v>Back dive layout</v>
      </c>
      <c r="G43" s="51">
        <f>IF($E43="","",IF(ISNA(VLOOKUP($E43,DD!$A$2:$C$150,3,0)),"",VLOOKUP($E43,DD!$A$2:$C$150,3,0)))</f>
        <v>1.4</v>
      </c>
      <c r="H43" s="52">
        <v>6</v>
      </c>
      <c r="I43" s="52">
        <v>6</v>
      </c>
      <c r="J43" s="52">
        <v>5</v>
      </c>
      <c r="K43" s="52">
        <v>6</v>
      </c>
      <c r="L43" s="52">
        <v>5</v>
      </c>
      <c r="M43" s="50"/>
      <c r="N43" s="45">
        <f t="shared" si="1"/>
        <v>23.799999999999997</v>
      </c>
      <c r="O43" s="45">
        <f>IF(N43="","",N43+O42)</f>
        <v>48.5</v>
      </c>
    </row>
    <row r="44" spans="1:15" x14ac:dyDescent="0.25">
      <c r="A44" s="97"/>
      <c r="B44" s="107"/>
      <c r="C44" s="106"/>
      <c r="D44" s="46">
        <v>3</v>
      </c>
      <c r="E44" s="50" t="s">
        <v>64</v>
      </c>
      <c r="F44" s="45" t="str">
        <f>IF($E44="","",IF(ISNA(VLOOKUP($E44,DD!$A$2:$C$150,2,0)),"NO SUCH DIVE",VLOOKUP($E44,DD!$A$2:$C$150,2,0)))</f>
        <v>Back dive ½ twist layout</v>
      </c>
      <c r="G44" s="51">
        <f>IF($E44="","",IF(ISNA(VLOOKUP($E44,DD!$A$2:$C$150,3,0)),"",VLOOKUP($E44,DD!$A$2:$C$150,3,0)))</f>
        <v>1.4</v>
      </c>
      <c r="H44" s="52">
        <v>5.5</v>
      </c>
      <c r="I44" s="52">
        <v>4</v>
      </c>
      <c r="J44" s="52">
        <v>4.5</v>
      </c>
      <c r="K44" s="52">
        <v>5</v>
      </c>
      <c r="L44" s="52">
        <v>5</v>
      </c>
      <c r="M44" s="50"/>
      <c r="N44" s="45">
        <f t="shared" si="1"/>
        <v>20.299999999999997</v>
      </c>
      <c r="O44" s="45">
        <f>IF(N44="","",N44+O43)</f>
        <v>68.8</v>
      </c>
    </row>
    <row r="45" spans="1:15" x14ac:dyDescent="0.25">
      <c r="A45" s="97"/>
      <c r="B45" s="107"/>
      <c r="C45" s="106"/>
      <c r="D45" s="46">
        <v>4</v>
      </c>
      <c r="E45" s="50" t="s">
        <v>170</v>
      </c>
      <c r="F45" s="45" t="str">
        <f>IF($E45="","",IF(ISNA(VLOOKUP($E45,DD!$A$2:$C$150,2,0)),"NO SUCH DIVE",VLOOKUP($E45,DD!$A$2:$C$150,2,0)))</f>
        <v>Front dive ½ twist layout</v>
      </c>
      <c r="G45" s="46">
        <f>IF($E45="","",IF(ISNA(VLOOKUP($E45,DD!$A$2:$C$150,3,0)),"",VLOOKUP($E45,DD!$A$2:$C$150,3,0)))</f>
        <v>1.4</v>
      </c>
      <c r="H45" s="52">
        <v>3</v>
      </c>
      <c r="I45" s="52">
        <v>3</v>
      </c>
      <c r="J45" s="52">
        <v>4.5</v>
      </c>
      <c r="K45" s="52">
        <v>3</v>
      </c>
      <c r="L45" s="52">
        <v>4</v>
      </c>
      <c r="M45" s="50"/>
      <c r="N45" s="45">
        <f t="shared" si="1"/>
        <v>14</v>
      </c>
      <c r="O45" s="45">
        <f>IF(N45="","",N45+O44)</f>
        <v>82.8</v>
      </c>
    </row>
    <row r="46" spans="1:15" x14ac:dyDescent="0.25">
      <c r="A46" s="97"/>
      <c r="B46" s="107"/>
      <c r="C46" s="106"/>
      <c r="D46" s="46">
        <v>5</v>
      </c>
      <c r="E46" s="50" t="s">
        <v>72</v>
      </c>
      <c r="F46" s="45" t="str">
        <f>IF($E46="","",IF(ISNA(VLOOKUP($E46,DD!$A$2:$C$150,2,0)),"NO SUCH DIVE",VLOOKUP($E46,DD!$A$2:$C$150,2,0)))</f>
        <v>Front somersault tuck</v>
      </c>
      <c r="G46" s="46">
        <f>IF($E46="","",IF(ISNA(VLOOKUP($E46,DD!$A$2:$C$150,3,0)),"",VLOOKUP($E46,DD!$A$2:$C$150,3,0)))</f>
        <v>1.4</v>
      </c>
      <c r="H46" s="52">
        <v>4.5</v>
      </c>
      <c r="I46" s="52">
        <v>4</v>
      </c>
      <c r="J46" s="52">
        <v>4</v>
      </c>
      <c r="K46" s="52">
        <v>3.5</v>
      </c>
      <c r="L46" s="52">
        <v>3</v>
      </c>
      <c r="M46" s="50"/>
      <c r="N46" s="45">
        <f t="shared" si="1"/>
        <v>16.099999999999998</v>
      </c>
      <c r="O46" s="54">
        <f>IF(N46="",0,N46+O45)</f>
        <v>98.899999999999991</v>
      </c>
    </row>
    <row r="47" spans="1:15" ht="13.9" customHeight="1" x14ac:dyDescent="0.25">
      <c r="A47" s="100">
        <v>10</v>
      </c>
      <c r="B47" s="101" t="s">
        <v>177</v>
      </c>
      <c r="C47" s="102" t="s">
        <v>4</v>
      </c>
      <c r="D47" s="55">
        <v>1</v>
      </c>
      <c r="E47" s="56" t="s">
        <v>89</v>
      </c>
      <c r="F47" s="57" t="str">
        <f>IF($E47="","",IF(ISNA(VLOOKUP($E47,DD!$A$2:$C$150,2,0)),"NO SUCH DIVE",VLOOKUP($E47,DD!$A$2:$C$150,2,0)))</f>
        <v>Front dive tuck</v>
      </c>
      <c r="G47" s="58">
        <f>IF($E47="","",IF(ISNA(VLOOKUP($E47,DD!$A$2:$C$150,3,0)),"",VLOOKUP($E47,DD!$A$2:$C$150,3,0)))</f>
        <v>1.3</v>
      </c>
      <c r="H47" s="59">
        <v>5.5</v>
      </c>
      <c r="I47" s="59">
        <v>6</v>
      </c>
      <c r="J47" s="59">
        <v>4.5</v>
      </c>
      <c r="K47" s="59">
        <v>5</v>
      </c>
      <c r="L47" s="59">
        <v>5</v>
      </c>
      <c r="M47" s="56"/>
      <c r="N47" s="57">
        <f t="shared" si="1"/>
        <v>20.150000000000002</v>
      </c>
      <c r="O47" s="57">
        <f>IF(N47="","",N47)</f>
        <v>20.150000000000002</v>
      </c>
    </row>
    <row r="48" spans="1:15" x14ac:dyDescent="0.25">
      <c r="A48" s="100"/>
      <c r="B48" s="101"/>
      <c r="C48" s="102"/>
      <c r="D48" s="55">
        <v>2</v>
      </c>
      <c r="E48" s="56" t="s">
        <v>58</v>
      </c>
      <c r="F48" s="57" t="str">
        <f>IF($E48="","",IF(ISNA(VLOOKUP($E48,DD!$A$2:$C$150,2,0)),"NO SUCH DIVE",VLOOKUP($E48,DD!$A$2:$C$150,2,0)))</f>
        <v>Back dive layout</v>
      </c>
      <c r="G48" s="58">
        <f>IF($E48="","",IF(ISNA(VLOOKUP($E48,DD!$A$2:$C$150,3,0)),"",VLOOKUP($E48,DD!$A$2:$C$150,3,0)))</f>
        <v>1.4</v>
      </c>
      <c r="H48" s="59">
        <v>5</v>
      </c>
      <c r="I48" s="59">
        <v>5.5</v>
      </c>
      <c r="J48" s="59">
        <v>6</v>
      </c>
      <c r="K48" s="59">
        <v>6.5</v>
      </c>
      <c r="L48" s="59">
        <v>5.5</v>
      </c>
      <c r="M48" s="56"/>
      <c r="N48" s="57">
        <f t="shared" si="1"/>
        <v>23.799999999999997</v>
      </c>
      <c r="O48" s="57">
        <f>IF(N48="","",N48+O47)</f>
        <v>43.95</v>
      </c>
    </row>
    <row r="49" spans="1:15" x14ac:dyDescent="0.25">
      <c r="A49" s="100"/>
      <c r="B49" s="101"/>
      <c r="C49" s="102"/>
      <c r="D49" s="55">
        <v>3</v>
      </c>
      <c r="E49" s="56" t="s">
        <v>64</v>
      </c>
      <c r="F49" s="57" t="str">
        <f>IF($E49="","",IF(ISNA(VLOOKUP($E49,DD!$A$2:$C$150,2,0)),"NO SUCH DIVE",VLOOKUP($E49,DD!$A$2:$C$150,2,0)))</f>
        <v>Back dive ½ twist layout</v>
      </c>
      <c r="G49" s="58">
        <f>IF($E49="","",IF(ISNA(VLOOKUP($E49,DD!$A$2:$C$150,3,0)),"",VLOOKUP($E49,DD!$A$2:$C$150,3,0)))</f>
        <v>1.4</v>
      </c>
      <c r="H49" s="59">
        <v>4</v>
      </c>
      <c r="I49" s="59">
        <v>4.5</v>
      </c>
      <c r="J49" s="59">
        <v>4</v>
      </c>
      <c r="K49" s="59">
        <v>4</v>
      </c>
      <c r="L49" s="59">
        <v>4</v>
      </c>
      <c r="M49" s="56"/>
      <c r="N49" s="57">
        <f t="shared" si="1"/>
        <v>16.799999999999997</v>
      </c>
      <c r="O49" s="57">
        <f>IF(N49="","",N49+O48)</f>
        <v>60.75</v>
      </c>
    </row>
    <row r="50" spans="1:15" x14ac:dyDescent="0.25">
      <c r="A50" s="100"/>
      <c r="B50" s="101"/>
      <c r="C50" s="102"/>
      <c r="D50" s="55">
        <v>4</v>
      </c>
      <c r="E50" s="56" t="s">
        <v>72</v>
      </c>
      <c r="F50" s="57" t="str">
        <f>IF($E50="","",IF(ISNA(VLOOKUP($E50,DD!$A$2:$C$150,2,0)),"NO SUCH DIVE",VLOOKUP($E50,DD!$A$2:$C$150,2,0)))</f>
        <v>Front somersault tuck</v>
      </c>
      <c r="G50" s="55">
        <f>IF($E50="","",IF(ISNA(VLOOKUP($E50,DD!$A$2:$C$150,3,0)),"",VLOOKUP($E50,DD!$A$2:$C$150,3,0)))</f>
        <v>1.4</v>
      </c>
      <c r="H50" s="59">
        <v>2.5</v>
      </c>
      <c r="I50" s="59">
        <v>3</v>
      </c>
      <c r="J50" s="59">
        <v>2</v>
      </c>
      <c r="K50" s="59">
        <v>3</v>
      </c>
      <c r="L50" s="59">
        <v>3</v>
      </c>
      <c r="M50" s="56"/>
      <c r="N50" s="57">
        <f t="shared" si="1"/>
        <v>11.899999999999999</v>
      </c>
      <c r="O50" s="57">
        <f>IF(N50="","",N50+O49)</f>
        <v>72.650000000000006</v>
      </c>
    </row>
    <row r="51" spans="1:15" x14ac:dyDescent="0.25">
      <c r="A51" s="100"/>
      <c r="B51" s="101"/>
      <c r="C51" s="102"/>
      <c r="D51" s="55">
        <v>5</v>
      </c>
      <c r="E51" s="56" t="s">
        <v>178</v>
      </c>
      <c r="F51" s="57" t="str">
        <f>IF($E51="","",IF(ISNA(VLOOKUP($E51,DD!$A$2:$C$150,2,0)),"NO SUCH DIVE",VLOOKUP($E51,DD!$A$2:$C$150,2,0)))</f>
        <v>Front somersault ½ twist free</v>
      </c>
      <c r="G51" s="55">
        <f>IF($E51="","",IF(ISNA(VLOOKUP($E51,DD!$A$2:$C$150,3,0)),"",VLOOKUP($E51,DD!$A$2:$C$150,3,0)))</f>
        <v>1.7</v>
      </c>
      <c r="H51" s="59">
        <v>1</v>
      </c>
      <c r="I51" s="59">
        <v>1</v>
      </c>
      <c r="J51" s="59">
        <v>1</v>
      </c>
      <c r="K51" s="59">
        <v>1</v>
      </c>
      <c r="L51" s="59">
        <v>1</v>
      </c>
      <c r="M51" s="56"/>
      <c r="N51" s="57">
        <f t="shared" si="1"/>
        <v>5.0999999999999996</v>
      </c>
      <c r="O51" s="60">
        <f>IF(N51="",0,N51+O50)</f>
        <v>77.75</v>
      </c>
    </row>
    <row r="52" spans="1:15" ht="13.9" customHeight="1" x14ac:dyDescent="0.25">
      <c r="A52" s="97">
        <v>11</v>
      </c>
      <c r="B52" s="107" t="s">
        <v>179</v>
      </c>
      <c r="C52" s="106" t="s">
        <v>4</v>
      </c>
      <c r="D52" s="46">
        <v>1</v>
      </c>
      <c r="E52" s="50" t="s">
        <v>89</v>
      </c>
      <c r="F52" s="45" t="str">
        <f>IF($E52="","",IF(ISNA(VLOOKUP($E52,DD!$A$2:$C$150,2,0)),"NO SUCH DIVE",VLOOKUP($E52,DD!$A$2:$C$150,2,0)))</f>
        <v>Front dive tuck</v>
      </c>
      <c r="G52" s="51">
        <f>IF($E52="","",IF(ISNA(VLOOKUP($E52,DD!$A$2:$C$150,3,0)),"",VLOOKUP($E52,DD!$A$2:$C$150,3,0)))</f>
        <v>1.3</v>
      </c>
      <c r="H52" s="52">
        <v>6.5</v>
      </c>
      <c r="I52" s="52">
        <v>6</v>
      </c>
      <c r="J52" s="52">
        <v>5</v>
      </c>
      <c r="K52" s="52">
        <v>5</v>
      </c>
      <c r="L52" s="52">
        <v>5.5</v>
      </c>
      <c r="M52" s="50"/>
      <c r="N52" s="45">
        <f t="shared" si="1"/>
        <v>21.45</v>
      </c>
      <c r="O52" s="45">
        <f>IF(N52="","",N52)</f>
        <v>21.45</v>
      </c>
    </row>
    <row r="53" spans="1:15" x14ac:dyDescent="0.25">
      <c r="A53" s="97"/>
      <c r="B53" s="107"/>
      <c r="C53" s="106"/>
      <c r="D53" s="46">
        <v>2</v>
      </c>
      <c r="E53" s="50" t="s">
        <v>58</v>
      </c>
      <c r="F53" s="45" t="str">
        <f>IF($E53="","",IF(ISNA(VLOOKUP($E53,DD!$A$2:$C$150,2,0)),"NO SUCH DIVE",VLOOKUP($E53,DD!$A$2:$C$150,2,0)))</f>
        <v>Back dive layout</v>
      </c>
      <c r="G53" s="51">
        <f>IF($E53="","",IF(ISNA(VLOOKUP($E53,DD!$A$2:$C$150,3,0)),"",VLOOKUP($E53,DD!$A$2:$C$150,3,0)))</f>
        <v>1.4</v>
      </c>
      <c r="H53" s="52">
        <v>4.5</v>
      </c>
      <c r="I53" s="52">
        <v>5.5</v>
      </c>
      <c r="J53" s="52">
        <v>5.5</v>
      </c>
      <c r="K53" s="52">
        <v>5.5</v>
      </c>
      <c r="L53" s="52">
        <v>5.5</v>
      </c>
      <c r="M53" s="50"/>
      <c r="N53" s="45">
        <f t="shared" si="1"/>
        <v>23.099999999999998</v>
      </c>
      <c r="O53" s="45">
        <f>IF(N53="","",N53+O52)</f>
        <v>44.55</v>
      </c>
    </row>
    <row r="54" spans="1:15" x14ac:dyDescent="0.25">
      <c r="A54" s="97"/>
      <c r="B54" s="107"/>
      <c r="C54" s="106"/>
      <c r="D54" s="46">
        <v>3</v>
      </c>
      <c r="E54" s="50" t="s">
        <v>64</v>
      </c>
      <c r="F54" s="45" t="str">
        <f>IF($E54="","",IF(ISNA(VLOOKUP($E54,DD!$A$2:$C$150,2,0)),"NO SUCH DIVE",VLOOKUP($E54,DD!$A$2:$C$150,2,0)))</f>
        <v>Back dive ½ twist layout</v>
      </c>
      <c r="G54" s="51">
        <f>IF($E54="","",IF(ISNA(VLOOKUP($E54,DD!$A$2:$C$150,3,0)),"",VLOOKUP($E54,DD!$A$2:$C$150,3,0)))</f>
        <v>1.4</v>
      </c>
      <c r="H54" s="52">
        <v>4</v>
      </c>
      <c r="I54" s="52">
        <v>4</v>
      </c>
      <c r="J54" s="52">
        <v>4</v>
      </c>
      <c r="K54" s="52">
        <v>4</v>
      </c>
      <c r="L54" s="52">
        <v>4</v>
      </c>
      <c r="M54" s="50"/>
      <c r="N54" s="45">
        <f t="shared" si="1"/>
        <v>16.799999999999997</v>
      </c>
      <c r="O54" s="45">
        <f>IF(N54="","",N54+O53)</f>
        <v>61.349999999999994</v>
      </c>
    </row>
    <row r="55" spans="1:15" x14ac:dyDescent="0.25">
      <c r="A55" s="97"/>
      <c r="B55" s="107"/>
      <c r="C55" s="106"/>
      <c r="D55" s="46">
        <v>4</v>
      </c>
      <c r="E55" s="50" t="s">
        <v>50</v>
      </c>
      <c r="F55" s="45" t="str">
        <f>IF($E55="","",IF(ISNA(VLOOKUP($E55,DD!$A$2:$C$150,2,0)),"NO SUCH DIVE",VLOOKUP($E55,DD!$A$2:$C$150,2,0)))</f>
        <v>Back jump layout</v>
      </c>
      <c r="G55" s="46">
        <f>IF($E55="","",IF(ISNA(VLOOKUP($E55,DD!$A$2:$C$150,3,0)),"",VLOOKUP($E55,DD!$A$2:$C$150,3,0)))</f>
        <v>0.5</v>
      </c>
      <c r="H55" s="52">
        <v>6.5</v>
      </c>
      <c r="I55" s="52">
        <v>6.5</v>
      </c>
      <c r="J55" s="52">
        <v>6.5</v>
      </c>
      <c r="K55" s="52">
        <v>6.5</v>
      </c>
      <c r="L55" s="52">
        <v>6.5</v>
      </c>
      <c r="M55" s="50"/>
      <c r="N55" s="45">
        <f t="shared" si="1"/>
        <v>9.75</v>
      </c>
      <c r="O55" s="45">
        <f>IF(N55="","",N55+O54)</f>
        <v>71.099999999999994</v>
      </c>
    </row>
    <row r="56" spans="1:15" x14ac:dyDescent="0.25">
      <c r="A56" s="97"/>
      <c r="B56" s="107"/>
      <c r="C56" s="106"/>
      <c r="D56" s="46">
        <v>5</v>
      </c>
      <c r="E56" s="50" t="s">
        <v>72</v>
      </c>
      <c r="F56" s="45" t="str">
        <f>IF($E56="","",IF(ISNA(VLOOKUP($E56,DD!$A$2:$C$150,2,0)),"NO SUCH DIVE",VLOOKUP($E56,DD!$A$2:$C$150,2,0)))</f>
        <v>Front somersault tuck</v>
      </c>
      <c r="G56" s="46">
        <f>IF($E56="","",IF(ISNA(VLOOKUP($E56,DD!$A$2:$C$150,3,0)),"",VLOOKUP($E56,DD!$A$2:$C$150,3,0)))</f>
        <v>1.4</v>
      </c>
      <c r="H56" s="52">
        <v>4.5</v>
      </c>
      <c r="I56" s="52">
        <v>4.5</v>
      </c>
      <c r="J56" s="52">
        <v>5</v>
      </c>
      <c r="K56" s="52">
        <v>5</v>
      </c>
      <c r="L56" s="52">
        <v>4.5</v>
      </c>
      <c r="M56" s="50"/>
      <c r="N56" s="45">
        <f t="shared" si="1"/>
        <v>19.599999999999998</v>
      </c>
      <c r="O56" s="54">
        <f>IF(N56="",0,N56+O55)</f>
        <v>90.699999999999989</v>
      </c>
    </row>
    <row r="57" spans="1:15" ht="13.9" customHeight="1" x14ac:dyDescent="0.25">
      <c r="A57" s="100">
        <v>12</v>
      </c>
      <c r="B57" s="101" t="s">
        <v>180</v>
      </c>
      <c r="C57" s="102" t="s">
        <v>52</v>
      </c>
      <c r="D57" s="55">
        <v>1</v>
      </c>
      <c r="E57" s="56" t="s">
        <v>138</v>
      </c>
      <c r="F57" s="57" t="str">
        <f>IF($E57="","",IF(ISNA(VLOOKUP($E57,DD!$A$2:$C$150,2,0)),"NO SUCH DIVE",VLOOKUP($E57,DD!$A$2:$C$150,2,0)))</f>
        <v>Front dive pike</v>
      </c>
      <c r="G57" s="58">
        <f>IF($E57="","",IF(ISNA(VLOOKUP($E57,DD!$A$2:$C$150,3,0)),"",VLOOKUP($E57,DD!$A$2:$C$150,3,0)))</f>
        <v>1.3</v>
      </c>
      <c r="H57" s="59">
        <v>6.5</v>
      </c>
      <c r="I57" s="59">
        <v>7</v>
      </c>
      <c r="J57" s="59">
        <v>6.5</v>
      </c>
      <c r="K57" s="59">
        <v>7.5</v>
      </c>
      <c r="L57" s="59">
        <v>6.5</v>
      </c>
      <c r="M57" s="56"/>
      <c r="N57" s="57">
        <f t="shared" si="1"/>
        <v>26</v>
      </c>
      <c r="O57" s="57">
        <f>IF(N57="","",N57)</f>
        <v>26</v>
      </c>
    </row>
    <row r="58" spans="1:15" x14ac:dyDescent="0.25">
      <c r="A58" s="100"/>
      <c r="B58" s="101"/>
      <c r="C58" s="102"/>
      <c r="D58" s="55">
        <v>2</v>
      </c>
      <c r="E58" s="56" t="s">
        <v>58</v>
      </c>
      <c r="F58" s="57" t="str">
        <f>IF($E58="","",IF(ISNA(VLOOKUP($E58,DD!$A$2:$C$150,2,0)),"NO SUCH DIVE",VLOOKUP($E58,DD!$A$2:$C$150,2,0)))</f>
        <v>Back dive layout</v>
      </c>
      <c r="G58" s="58">
        <f>IF($E58="","",IF(ISNA(VLOOKUP($E58,DD!$A$2:$C$150,3,0)),"",VLOOKUP($E58,DD!$A$2:$C$150,3,0)))</f>
        <v>1.4</v>
      </c>
      <c r="H58" s="59">
        <v>6.5</v>
      </c>
      <c r="I58" s="59">
        <v>6</v>
      </c>
      <c r="J58" s="59">
        <v>5.5</v>
      </c>
      <c r="K58" s="59">
        <v>7</v>
      </c>
      <c r="L58" s="59">
        <v>5.5</v>
      </c>
      <c r="M58" s="56"/>
      <c r="N58" s="57">
        <f t="shared" si="1"/>
        <v>25.2</v>
      </c>
      <c r="O58" s="57">
        <f>IF(N58="","",N58+O57)</f>
        <v>51.2</v>
      </c>
    </row>
    <row r="59" spans="1:15" x14ac:dyDescent="0.25">
      <c r="A59" s="100"/>
      <c r="B59" s="101"/>
      <c r="C59" s="102"/>
      <c r="D59" s="55">
        <v>3</v>
      </c>
      <c r="E59" s="56" t="s">
        <v>181</v>
      </c>
      <c r="F59" s="57" t="str">
        <f>IF($E59="","",IF(ISNA(VLOOKUP($E59,DD!$A$2:$C$150,2,0)),"NO SUCH DIVE",VLOOKUP($E59,DD!$A$2:$C$150,2,0)))</f>
        <v>Front somersault ½ twist pike</v>
      </c>
      <c r="G59" s="58">
        <f>IF($E59="","",IF(ISNA(VLOOKUP($E59,DD!$A$2:$C$150,3,0)),"",VLOOKUP($E59,DD!$A$2:$C$150,3,0)))</f>
        <v>1.8</v>
      </c>
      <c r="H59" s="59">
        <v>1</v>
      </c>
      <c r="I59" s="59">
        <v>1</v>
      </c>
      <c r="J59" s="59">
        <v>1</v>
      </c>
      <c r="K59" s="59">
        <v>1</v>
      </c>
      <c r="L59" s="59">
        <v>1</v>
      </c>
      <c r="M59" s="56"/>
      <c r="N59" s="57">
        <f t="shared" si="1"/>
        <v>5.4</v>
      </c>
      <c r="O59" s="57">
        <f>IF(N59="","",N59+O58)</f>
        <v>56.6</v>
      </c>
    </row>
    <row r="60" spans="1:15" x14ac:dyDescent="0.25">
      <c r="A60" s="100"/>
      <c r="B60" s="101"/>
      <c r="C60" s="102"/>
      <c r="D60" s="55">
        <v>4</v>
      </c>
      <c r="E60" s="56" t="s">
        <v>139</v>
      </c>
      <c r="F60" s="57" t="str">
        <f>IF($E60="","",IF(ISNA(VLOOKUP($E60,DD!$A$2:$C$150,2,0)),"NO SUCH DIVE",VLOOKUP($E60,DD!$A$2:$C$150,2,0)))</f>
        <v>Front somersault pike</v>
      </c>
      <c r="G60" s="55">
        <f>IF($E60="","",IF(ISNA(VLOOKUP($E60,DD!$A$2:$C$150,3,0)),"",VLOOKUP($E60,DD!$A$2:$C$150,3,0)))</f>
        <v>1.5</v>
      </c>
      <c r="H60" s="59">
        <v>6.5</v>
      </c>
      <c r="I60" s="59">
        <v>7</v>
      </c>
      <c r="J60" s="59">
        <v>6.5</v>
      </c>
      <c r="K60" s="59">
        <v>7</v>
      </c>
      <c r="L60" s="59">
        <v>6.5</v>
      </c>
      <c r="M60" s="56"/>
      <c r="N60" s="57">
        <f t="shared" si="1"/>
        <v>30</v>
      </c>
      <c r="O60" s="57">
        <f>IF(N60="","",N60+O59)</f>
        <v>86.6</v>
      </c>
    </row>
    <row r="61" spans="1:15" x14ac:dyDescent="0.25">
      <c r="A61" s="100"/>
      <c r="B61" s="101"/>
      <c r="C61" s="102"/>
      <c r="D61" s="55">
        <v>5</v>
      </c>
      <c r="E61" s="56" t="s">
        <v>112</v>
      </c>
      <c r="F61" s="57" t="str">
        <f>IF($E61="","",IF(ISNA(VLOOKUP($E61,DD!$A$2:$C$150,2,0)),"NO SUCH DIVE",VLOOKUP($E61,DD!$A$2:$C$150,2,0)))</f>
        <v>Back somersault tuck</v>
      </c>
      <c r="G61" s="55">
        <f>IF($E61="","",IF(ISNA(VLOOKUP($E61,DD!$A$2:$C$150,3,0)),"",VLOOKUP($E61,DD!$A$2:$C$150,3,0)))</f>
        <v>1.5</v>
      </c>
      <c r="H61" s="59">
        <v>4.5</v>
      </c>
      <c r="I61" s="59">
        <v>4.5</v>
      </c>
      <c r="J61" s="59">
        <v>5</v>
      </c>
      <c r="K61" s="59">
        <v>5</v>
      </c>
      <c r="L61" s="59">
        <v>5</v>
      </c>
      <c r="M61" s="56"/>
      <c r="N61" s="57">
        <f t="shared" si="1"/>
        <v>21.75</v>
      </c>
      <c r="O61" s="60">
        <f>IF(N61="",0,N61+O60)</f>
        <v>108.35</v>
      </c>
    </row>
    <row r="62" spans="1:15" x14ac:dyDescent="0.25">
      <c r="A62" s="97">
        <v>13</v>
      </c>
      <c r="B62" s="107"/>
      <c r="C62" s="106"/>
      <c r="D62" s="46">
        <v>1</v>
      </c>
      <c r="E62" s="50"/>
      <c r="F62" s="45" t="str">
        <f>IF($E62="","",IF(ISNA(VLOOKUP($E62,DD!$A$2:$C$150,2,0)),"NO SUCH DIVE",VLOOKUP($E62,DD!$A$2:$C$150,2,0)))</f>
        <v/>
      </c>
      <c r="G62" s="51" t="str">
        <f>IF($E62="","",IF(ISNA(VLOOKUP($E62,DD!$A$2:$C$150,3,0)),"",VLOOKUP($E62,DD!$A$2:$C$150,3,0)))</f>
        <v/>
      </c>
      <c r="H62" s="52"/>
      <c r="I62" s="52"/>
      <c r="J62" s="52"/>
      <c r="K62" s="52"/>
      <c r="L62" s="52"/>
      <c r="M62" s="50"/>
      <c r="N62" s="45" t="str">
        <f t="shared" si="1"/>
        <v/>
      </c>
      <c r="O62" s="45" t="str">
        <f>IF(N62="","",N62)</f>
        <v/>
      </c>
    </row>
    <row r="63" spans="1:15" x14ac:dyDescent="0.25">
      <c r="A63" s="97"/>
      <c r="B63" s="107"/>
      <c r="C63" s="106"/>
      <c r="D63" s="46">
        <v>2</v>
      </c>
      <c r="E63" s="62"/>
      <c r="F63" s="45" t="str">
        <f>IF($E63="","",IF(ISNA(VLOOKUP($E63,DD!$A$2:$C$150,2,0)),"NO SUCH DIVE",VLOOKUP($E63,DD!$A$2:$C$150,2,0)))</f>
        <v/>
      </c>
      <c r="G63" s="51" t="str">
        <f>IF($E63="","",IF(ISNA(VLOOKUP($E63,DD!$A$2:$C$150,3,0)),"",VLOOKUP($E63,DD!$A$2:$C$150,3,0)))</f>
        <v/>
      </c>
      <c r="H63" s="52"/>
      <c r="I63" s="52"/>
      <c r="J63" s="52"/>
      <c r="K63" s="52"/>
      <c r="L63" s="52"/>
      <c r="M63" s="50"/>
      <c r="N63" s="45" t="str">
        <f t="shared" si="1"/>
        <v/>
      </c>
      <c r="O63" s="45" t="str">
        <f>IF(N63="","",N63+O62)</f>
        <v/>
      </c>
    </row>
    <row r="64" spans="1:15" x14ac:dyDescent="0.25">
      <c r="A64" s="97"/>
      <c r="B64" s="107"/>
      <c r="C64" s="106"/>
      <c r="D64" s="46">
        <v>3</v>
      </c>
      <c r="E64" s="62"/>
      <c r="F64" s="45" t="str">
        <f>IF($E64="","",IF(ISNA(VLOOKUP($E64,DD!$A$2:$C$150,2,0)),"NO SUCH DIVE",VLOOKUP($E64,DD!$A$2:$C$150,2,0)))</f>
        <v/>
      </c>
      <c r="G64" s="51" t="str">
        <f>IF($E64="","",IF(ISNA(VLOOKUP($E64,DD!$A$2:$C$150,3,0)),"",VLOOKUP($E64,DD!$A$2:$C$150,3,0)))</f>
        <v/>
      </c>
      <c r="H64" s="52"/>
      <c r="I64" s="52"/>
      <c r="J64" s="52"/>
      <c r="K64" s="52"/>
      <c r="L64" s="52"/>
      <c r="M64" s="50"/>
      <c r="N64" s="45" t="str">
        <f t="shared" si="1"/>
        <v/>
      </c>
      <c r="O64" s="45" t="str">
        <f>IF(N64="","",N64+O63)</f>
        <v/>
      </c>
    </row>
    <row r="65" spans="1:15" x14ac:dyDescent="0.25">
      <c r="A65" s="97"/>
      <c r="B65" s="107"/>
      <c r="C65" s="106"/>
      <c r="D65" s="46">
        <v>4</v>
      </c>
      <c r="E65" s="62"/>
      <c r="F65" s="45" t="str">
        <f>IF($E65="","",IF(ISNA(VLOOKUP($E65,DD!$A$2:$C$150,2,0)),"NO SUCH DIVE",VLOOKUP($E65,DD!$A$2:$C$150,2,0)))</f>
        <v/>
      </c>
      <c r="G65" s="46" t="str">
        <f>IF($E65="","",IF(ISNA(VLOOKUP($E65,DD!$A$2:$C$150,3,0)),"",VLOOKUP($E65,DD!$A$2:$C$150,3,0)))</f>
        <v/>
      </c>
      <c r="H65" s="52"/>
      <c r="I65" s="52"/>
      <c r="J65" s="52"/>
      <c r="K65" s="52"/>
      <c r="L65" s="52"/>
      <c r="M65" s="50"/>
      <c r="N65" s="45" t="str">
        <f t="shared" si="1"/>
        <v/>
      </c>
      <c r="O65" s="45" t="str">
        <f>IF(N65="","",N65+O64)</f>
        <v/>
      </c>
    </row>
    <row r="66" spans="1:15" x14ac:dyDescent="0.25">
      <c r="A66" s="97"/>
      <c r="B66" s="107"/>
      <c r="C66" s="106"/>
      <c r="D66" s="46">
        <v>5</v>
      </c>
      <c r="E66" s="62"/>
      <c r="F66" s="45" t="str">
        <f>IF($E66="","",IF(ISNA(VLOOKUP($E66,DD!$A$2:$C$150,2,0)),"NO SUCH DIVE",VLOOKUP($E66,DD!$A$2:$C$150,2,0)))</f>
        <v/>
      </c>
      <c r="G66" s="46" t="str">
        <f>IF($E66="","",IF(ISNA(VLOOKUP($E66,DD!$A$2:$C$150,3,0)),"",VLOOKUP($E66,DD!$A$2:$C$150,3,0)))</f>
        <v/>
      </c>
      <c r="H66" s="52"/>
      <c r="I66" s="52"/>
      <c r="J66" s="52"/>
      <c r="K66" s="52"/>
      <c r="L66" s="52"/>
      <c r="M66" s="50"/>
      <c r="N66" s="45" t="str">
        <f t="shared" ref="N66:N97" si="2">IF(G66="","",IF(COUNT(H66:L66)=3,IF(M66&lt;&gt;"",(SUM(H66:J66)-6)*G66,SUM(H66:J66)*G66),IF(M66&lt;&gt;"",(SUM(H66:L66)-MAX(H66:L66)-MIN(H66:L66)-6)*G66,(SUM(H66:L66)-MAX(H66:L66)-MIN(H66:L66))*G66)))</f>
        <v/>
      </c>
      <c r="O66" s="54">
        <f>IF(N66="",0,N66+O65)</f>
        <v>0</v>
      </c>
    </row>
    <row r="67" spans="1:15" x14ac:dyDescent="0.25">
      <c r="A67" s="100">
        <v>14</v>
      </c>
      <c r="B67" s="101"/>
      <c r="C67" s="102"/>
      <c r="D67" s="55">
        <v>1</v>
      </c>
      <c r="E67" s="56"/>
      <c r="F67" s="57" t="str">
        <f>IF($E67="","",IF(ISNA(VLOOKUP($E67,DD!$A$2:$C$150,2,0)),"NO SUCH DIVE",VLOOKUP($E67,DD!$A$2:$C$150,2,0)))</f>
        <v/>
      </c>
      <c r="G67" s="58" t="str">
        <f>IF($E67="","",IF(ISNA(VLOOKUP($E67,DD!$A$2:$C$150,3,0)),"",VLOOKUP($E67,DD!$A$2:$C$150,3,0)))</f>
        <v/>
      </c>
      <c r="H67" s="59"/>
      <c r="I67" s="59"/>
      <c r="J67" s="59"/>
      <c r="K67" s="59"/>
      <c r="L67" s="59"/>
      <c r="M67" s="56"/>
      <c r="N67" s="57" t="str">
        <f t="shared" si="2"/>
        <v/>
      </c>
      <c r="O67" s="57" t="str">
        <f>IF(N67="","",N67)</f>
        <v/>
      </c>
    </row>
    <row r="68" spans="1:15" x14ac:dyDescent="0.25">
      <c r="A68" s="100"/>
      <c r="B68" s="101"/>
      <c r="C68" s="102"/>
      <c r="D68" s="55">
        <v>2</v>
      </c>
      <c r="E68" s="56"/>
      <c r="F68" s="57" t="str">
        <f>IF($E68="","",IF(ISNA(VLOOKUP($E68,DD!$A$2:$C$150,2,0)),"NO SUCH DIVE",VLOOKUP($E68,DD!$A$2:$C$150,2,0)))</f>
        <v/>
      </c>
      <c r="G68" s="58" t="str">
        <f>IF($E68="","",IF(ISNA(VLOOKUP($E68,DD!$A$2:$C$150,3,0)),"",VLOOKUP($E68,DD!$A$2:$C$150,3,0)))</f>
        <v/>
      </c>
      <c r="H68" s="59"/>
      <c r="I68" s="59"/>
      <c r="J68" s="59"/>
      <c r="K68" s="59"/>
      <c r="L68" s="59"/>
      <c r="M68" s="56"/>
      <c r="N68" s="57" t="str">
        <f t="shared" si="2"/>
        <v/>
      </c>
      <c r="O68" s="57" t="str">
        <f>IF(N68="","",N68+O67)</f>
        <v/>
      </c>
    </row>
    <row r="69" spans="1:15" x14ac:dyDescent="0.25">
      <c r="A69" s="100"/>
      <c r="B69" s="101"/>
      <c r="C69" s="102"/>
      <c r="D69" s="55">
        <v>3</v>
      </c>
      <c r="E69" s="56"/>
      <c r="F69" s="57" t="str">
        <f>IF($E69="","",IF(ISNA(VLOOKUP($E69,DD!$A$2:$C$150,2,0)),"NO SUCH DIVE",VLOOKUP($E69,DD!$A$2:$C$150,2,0)))</f>
        <v/>
      </c>
      <c r="G69" s="58" t="str">
        <f>IF($E69="","",IF(ISNA(VLOOKUP($E69,DD!$A$2:$C$150,3,0)),"",VLOOKUP($E69,DD!$A$2:$C$150,3,0)))</f>
        <v/>
      </c>
      <c r="H69" s="59"/>
      <c r="I69" s="59"/>
      <c r="J69" s="59"/>
      <c r="K69" s="59"/>
      <c r="L69" s="59"/>
      <c r="M69" s="56"/>
      <c r="N69" s="57" t="str">
        <f t="shared" si="2"/>
        <v/>
      </c>
      <c r="O69" s="57" t="str">
        <f>IF(N69="","",N69+O68)</f>
        <v/>
      </c>
    </row>
    <row r="70" spans="1:15" x14ac:dyDescent="0.25">
      <c r="A70" s="100"/>
      <c r="B70" s="101"/>
      <c r="C70" s="102"/>
      <c r="D70" s="55">
        <v>4</v>
      </c>
      <c r="E70" s="61"/>
      <c r="F70" s="57" t="str">
        <f>IF($E70="","",IF(ISNA(VLOOKUP($E70,DD!$A$2:$C$150,2,0)),"NO SUCH DIVE",VLOOKUP($E70,DD!$A$2:$C$150,2,0)))</f>
        <v/>
      </c>
      <c r="G70" s="55" t="str">
        <f>IF($E70="","",IF(ISNA(VLOOKUP($E70,DD!$A$2:$C$150,3,0)),"",VLOOKUP($E70,DD!$A$2:$C$150,3,0)))</f>
        <v/>
      </c>
      <c r="H70" s="59"/>
      <c r="I70" s="59"/>
      <c r="J70" s="59"/>
      <c r="K70" s="59"/>
      <c r="L70" s="59"/>
      <c r="M70" s="56"/>
      <c r="N70" s="57" t="str">
        <f t="shared" si="2"/>
        <v/>
      </c>
      <c r="O70" s="57" t="str">
        <f>IF(N70="","",N70+O69)</f>
        <v/>
      </c>
    </row>
    <row r="71" spans="1:15" x14ac:dyDescent="0.25">
      <c r="A71" s="100"/>
      <c r="B71" s="101"/>
      <c r="C71" s="102"/>
      <c r="D71" s="55">
        <v>5</v>
      </c>
      <c r="E71" s="56"/>
      <c r="F71" s="57" t="str">
        <f>IF($E71="","",IF(ISNA(VLOOKUP($E71,DD!$A$2:$C$150,2,0)),"NO SUCH DIVE",VLOOKUP($E71,DD!$A$2:$C$150,2,0)))</f>
        <v/>
      </c>
      <c r="G71" s="55" t="str">
        <f>IF($E71="","",IF(ISNA(VLOOKUP($E71,DD!$A$2:$C$150,3,0)),"",VLOOKUP($E71,DD!$A$2:$C$150,3,0)))</f>
        <v/>
      </c>
      <c r="H71" s="59"/>
      <c r="I71" s="59"/>
      <c r="J71" s="59"/>
      <c r="K71" s="59"/>
      <c r="L71" s="59"/>
      <c r="M71" s="56"/>
      <c r="N71" s="57" t="str">
        <f t="shared" si="2"/>
        <v/>
      </c>
      <c r="O71" s="60">
        <f>IF(N71="",0,N71+O70)</f>
        <v>0</v>
      </c>
    </row>
    <row r="72" spans="1:15" x14ac:dyDescent="0.25">
      <c r="A72" s="97">
        <v>15</v>
      </c>
      <c r="B72" s="107"/>
      <c r="C72" s="106"/>
      <c r="D72" s="46">
        <v>1</v>
      </c>
      <c r="E72" s="50"/>
      <c r="F72" s="45" t="str">
        <f>IF($E72="","",IF(ISNA(VLOOKUP($E72,DD!$A$2:$C$150,2,0)),"NO SUCH DIVE",VLOOKUP($E72,DD!$A$2:$C$150,2,0)))</f>
        <v/>
      </c>
      <c r="G72" s="51" t="str">
        <f>IF($E72="","",IF(ISNA(VLOOKUP($E72,DD!$A$2:$C$150,3,0)),"",VLOOKUP($E72,DD!$A$2:$C$150,3,0)))</f>
        <v/>
      </c>
      <c r="H72" s="52"/>
      <c r="I72" s="52"/>
      <c r="J72" s="52"/>
      <c r="K72" s="52"/>
      <c r="L72" s="52"/>
      <c r="M72" s="50"/>
      <c r="N72" s="45" t="str">
        <f t="shared" si="2"/>
        <v/>
      </c>
      <c r="O72" s="45" t="str">
        <f>IF(N72="","",N72)</f>
        <v/>
      </c>
    </row>
    <row r="73" spans="1:15" x14ac:dyDescent="0.25">
      <c r="A73" s="97"/>
      <c r="B73" s="107"/>
      <c r="C73" s="106"/>
      <c r="D73" s="46">
        <v>2</v>
      </c>
      <c r="E73" s="62"/>
      <c r="F73" s="45" t="str">
        <f>IF($E73="","",IF(ISNA(VLOOKUP($E73,DD!$A$2:$C$150,2,0)),"NO SUCH DIVE",VLOOKUP($E73,DD!$A$2:$C$150,2,0)))</f>
        <v/>
      </c>
      <c r="G73" s="51" t="str">
        <f>IF($E73="","",IF(ISNA(VLOOKUP($E73,DD!$A$2:$C$150,3,0)),"",VLOOKUP($E73,DD!$A$2:$C$150,3,0)))</f>
        <v/>
      </c>
      <c r="H73" s="52"/>
      <c r="I73" s="52"/>
      <c r="J73" s="52"/>
      <c r="K73" s="52"/>
      <c r="L73" s="52"/>
      <c r="M73" s="50"/>
      <c r="N73" s="45" t="str">
        <f t="shared" si="2"/>
        <v/>
      </c>
      <c r="O73" s="45" t="str">
        <f>IF(N73="","",N73+O72)</f>
        <v/>
      </c>
    </row>
    <row r="74" spans="1:15" x14ac:dyDescent="0.25">
      <c r="A74" s="97"/>
      <c r="B74" s="107"/>
      <c r="C74" s="106"/>
      <c r="D74" s="46">
        <v>3</v>
      </c>
      <c r="E74" s="62"/>
      <c r="F74" s="45" t="str">
        <f>IF($E74="","",IF(ISNA(VLOOKUP($E74,DD!$A$2:$C$150,2,0)),"NO SUCH DIVE",VLOOKUP($E74,DD!$A$2:$C$150,2,0)))</f>
        <v/>
      </c>
      <c r="G74" s="51" t="str">
        <f>IF($E74="","",IF(ISNA(VLOOKUP($E74,DD!$A$2:$C$150,3,0)),"",VLOOKUP($E74,DD!$A$2:$C$150,3,0)))</f>
        <v/>
      </c>
      <c r="H74" s="52"/>
      <c r="I74" s="52"/>
      <c r="J74" s="52"/>
      <c r="K74" s="52"/>
      <c r="L74" s="52"/>
      <c r="M74" s="50"/>
      <c r="N74" s="45" t="str">
        <f t="shared" si="2"/>
        <v/>
      </c>
      <c r="O74" s="45" t="str">
        <f>IF(N74="","",N74+O73)</f>
        <v/>
      </c>
    </row>
    <row r="75" spans="1:15" ht="15" customHeight="1" x14ac:dyDescent="0.25">
      <c r="A75" s="97"/>
      <c r="B75" s="107"/>
      <c r="C75" s="106"/>
      <c r="D75" s="46">
        <v>4</v>
      </c>
      <c r="E75" s="62"/>
      <c r="F75" s="45" t="str">
        <f>IF($E75="","",IF(ISNA(VLOOKUP($E75,DD!$A$2:$C$150,2,0)),"NO SUCH DIVE",VLOOKUP($E75,DD!$A$2:$C$150,2,0)))</f>
        <v/>
      </c>
      <c r="G75" s="46" t="str">
        <f>IF($E75="","",IF(ISNA(VLOOKUP($E75,DD!$A$2:$C$150,3,0)),"",VLOOKUP($E75,DD!$A$2:$C$150,3,0)))</f>
        <v/>
      </c>
      <c r="H75" s="52"/>
      <c r="I75" s="52"/>
      <c r="J75" s="52"/>
      <c r="K75" s="52"/>
      <c r="L75" s="52"/>
      <c r="M75" s="50"/>
      <c r="N75" s="45" t="str">
        <f t="shared" si="2"/>
        <v/>
      </c>
      <c r="O75" s="45" t="str">
        <f>IF(N75="","",N75+O74)</f>
        <v/>
      </c>
    </row>
    <row r="76" spans="1:15" x14ac:dyDescent="0.25">
      <c r="A76" s="97"/>
      <c r="B76" s="107"/>
      <c r="C76" s="106"/>
      <c r="D76" s="46">
        <v>5</v>
      </c>
      <c r="E76" s="62"/>
      <c r="F76" s="45" t="str">
        <f>IF($E76="","",IF(ISNA(VLOOKUP($E76,DD!$A$2:$C$150,2,0)),"NO SUCH DIVE",VLOOKUP($E76,DD!$A$2:$C$150,2,0)))</f>
        <v/>
      </c>
      <c r="G76" s="46" t="str">
        <f>IF($E76="","",IF(ISNA(VLOOKUP($E76,DD!$A$2:$C$150,3,0)),"",VLOOKUP($E76,DD!$A$2:$C$150,3,0)))</f>
        <v/>
      </c>
      <c r="H76" s="52"/>
      <c r="I76" s="52"/>
      <c r="J76" s="52"/>
      <c r="K76" s="52"/>
      <c r="L76" s="52"/>
      <c r="M76" s="50"/>
      <c r="N76" s="45" t="str">
        <f t="shared" si="2"/>
        <v/>
      </c>
      <c r="O76" s="54">
        <f>IF(N76="",0,N76+O75)</f>
        <v>0</v>
      </c>
    </row>
    <row r="77" spans="1:15" x14ac:dyDescent="0.25">
      <c r="A77" s="100">
        <v>16</v>
      </c>
      <c r="B77" s="101"/>
      <c r="C77" s="102"/>
      <c r="D77" s="55">
        <v>1</v>
      </c>
      <c r="E77" s="56"/>
      <c r="F77" s="57" t="str">
        <f>IF($E77="","",IF(ISNA(VLOOKUP($E77,DD!$A$2:$C$150,2,0)),"NO SUCH DIVE",VLOOKUP($E77,DD!$A$2:$C$150,2,0)))</f>
        <v/>
      </c>
      <c r="G77" s="58" t="str">
        <f>IF($E77="","",IF(ISNA(VLOOKUP($E77,DD!$A$2:$C$150,3,0)),"",VLOOKUP($E77,DD!$A$2:$C$150,3,0)))</f>
        <v/>
      </c>
      <c r="H77" s="59"/>
      <c r="I77" s="59"/>
      <c r="J77" s="59"/>
      <c r="K77" s="59"/>
      <c r="L77" s="59"/>
      <c r="M77" s="56"/>
      <c r="N77" s="57" t="str">
        <f t="shared" si="2"/>
        <v/>
      </c>
      <c r="O77" s="57" t="str">
        <f>IF(N77="","",N77)</f>
        <v/>
      </c>
    </row>
    <row r="78" spans="1:15" x14ac:dyDescent="0.25">
      <c r="A78" s="100"/>
      <c r="B78" s="101"/>
      <c r="C78" s="102"/>
      <c r="D78" s="55">
        <v>2</v>
      </c>
      <c r="E78" s="61"/>
      <c r="F78" s="57" t="str">
        <f>IF($E78="","",IF(ISNA(VLOOKUP($E78,DD!$A$2:$C$150,2,0)),"NO SUCH DIVE",VLOOKUP($E78,DD!$A$2:$C$150,2,0)))</f>
        <v/>
      </c>
      <c r="G78" s="58" t="str">
        <f>IF($E78="","",IF(ISNA(VLOOKUP($E78,DD!$A$2:$C$150,3,0)),"",VLOOKUP($E78,DD!$A$2:$C$150,3,0)))</f>
        <v/>
      </c>
      <c r="H78" s="59"/>
      <c r="I78" s="59"/>
      <c r="J78" s="59"/>
      <c r="K78" s="59"/>
      <c r="L78" s="59"/>
      <c r="M78" s="56"/>
      <c r="N78" s="57" t="str">
        <f t="shared" si="2"/>
        <v/>
      </c>
      <c r="O78" s="57" t="str">
        <f>IF(N78="","",N78+O77)</f>
        <v/>
      </c>
    </row>
    <row r="79" spans="1:15" x14ac:dyDescent="0.25">
      <c r="A79" s="100"/>
      <c r="B79" s="101"/>
      <c r="C79" s="102"/>
      <c r="D79" s="55">
        <v>3</v>
      </c>
      <c r="E79" s="61"/>
      <c r="F79" s="57" t="str">
        <f>IF($E79="","",IF(ISNA(VLOOKUP($E79,DD!$A$2:$C$150,2,0)),"NO SUCH DIVE",VLOOKUP($E79,DD!$A$2:$C$150,2,0)))</f>
        <v/>
      </c>
      <c r="G79" s="58" t="str">
        <f>IF($E79="","",IF(ISNA(VLOOKUP($E79,DD!$A$2:$C$150,3,0)),"",VLOOKUP($E79,DD!$A$2:$C$150,3,0)))</f>
        <v/>
      </c>
      <c r="H79" s="59"/>
      <c r="I79" s="59"/>
      <c r="J79" s="59"/>
      <c r="K79" s="59"/>
      <c r="L79" s="59"/>
      <c r="M79" s="56"/>
      <c r="N79" s="57" t="str">
        <f t="shared" si="2"/>
        <v/>
      </c>
      <c r="O79" s="57" t="str">
        <f>IF(N79="","",N79+O78)</f>
        <v/>
      </c>
    </row>
    <row r="80" spans="1:15" x14ac:dyDescent="0.25">
      <c r="A80" s="100"/>
      <c r="B80" s="101"/>
      <c r="C80" s="102"/>
      <c r="D80" s="55">
        <v>4</v>
      </c>
      <c r="E80" s="61"/>
      <c r="F80" s="57" t="str">
        <f>IF($E80="","",IF(ISNA(VLOOKUP($E80,DD!$A$2:$C$150,2,0)),"NO SUCH DIVE",VLOOKUP($E80,DD!$A$2:$C$150,2,0)))</f>
        <v/>
      </c>
      <c r="G80" s="55" t="str">
        <f>IF($E80="","",IF(ISNA(VLOOKUP($E80,DD!$A$2:$C$150,3,0)),"",VLOOKUP($E80,DD!$A$2:$C$150,3,0)))</f>
        <v/>
      </c>
      <c r="H80" s="59"/>
      <c r="I80" s="59"/>
      <c r="J80" s="59"/>
      <c r="K80" s="59"/>
      <c r="L80" s="59"/>
      <c r="M80" s="56"/>
      <c r="N80" s="57" t="str">
        <f t="shared" si="2"/>
        <v/>
      </c>
      <c r="O80" s="57" t="str">
        <f>IF(N80="","",N80+O79)</f>
        <v/>
      </c>
    </row>
    <row r="81" spans="1:15" x14ac:dyDescent="0.25">
      <c r="A81" s="100"/>
      <c r="B81" s="101"/>
      <c r="C81" s="102"/>
      <c r="D81" s="55">
        <v>5</v>
      </c>
      <c r="E81" s="61"/>
      <c r="F81" s="57" t="str">
        <f>IF($E81="","",IF(ISNA(VLOOKUP($E81,DD!$A$2:$C$150,2,0)),"NO SUCH DIVE",VLOOKUP($E81,DD!$A$2:$C$150,2,0)))</f>
        <v/>
      </c>
      <c r="G81" s="55" t="str">
        <f>IF($E81="","",IF(ISNA(VLOOKUP($E81,DD!$A$2:$C$150,3,0)),"",VLOOKUP($E81,DD!$A$2:$C$150,3,0)))</f>
        <v/>
      </c>
      <c r="H81" s="59"/>
      <c r="I81" s="59"/>
      <c r="J81" s="59"/>
      <c r="K81" s="59"/>
      <c r="L81" s="59"/>
      <c r="M81" s="56"/>
      <c r="N81" s="57" t="str">
        <f t="shared" si="2"/>
        <v/>
      </c>
      <c r="O81" s="60">
        <f>IF(N81="",0,N81+O80)</f>
        <v>0</v>
      </c>
    </row>
    <row r="82" spans="1:15" x14ac:dyDescent="0.25">
      <c r="A82" s="97">
        <v>17</v>
      </c>
      <c r="B82" s="107"/>
      <c r="C82" s="106"/>
      <c r="D82" s="46">
        <v>1</v>
      </c>
      <c r="E82" s="50"/>
      <c r="F82" s="45" t="str">
        <f>IF($E82="","",IF(ISNA(VLOOKUP($E82,DD!$A$2:$C$150,2,0)),"NO SUCH DIVE",VLOOKUP($E82,DD!$A$2:$C$150,2,0)))</f>
        <v/>
      </c>
      <c r="G82" s="51" t="str">
        <f>IF($E82="","",IF(ISNA(VLOOKUP($E82,DD!$A$2:$C$150,3,0)),"",VLOOKUP($E82,DD!$A$2:$C$150,3,0)))</f>
        <v/>
      </c>
      <c r="H82" s="52"/>
      <c r="I82" s="52"/>
      <c r="J82" s="52"/>
      <c r="K82" s="52"/>
      <c r="L82" s="52"/>
      <c r="M82" s="50"/>
      <c r="N82" s="45" t="str">
        <f t="shared" si="2"/>
        <v/>
      </c>
      <c r="O82" s="45" t="str">
        <f>IF(N82="","",N82)</f>
        <v/>
      </c>
    </row>
    <row r="83" spans="1:15" x14ac:dyDescent="0.25">
      <c r="A83" s="97"/>
      <c r="B83" s="107"/>
      <c r="C83" s="106"/>
      <c r="D83" s="46">
        <v>2</v>
      </c>
      <c r="E83" s="62"/>
      <c r="F83" s="45" t="str">
        <f>IF($E83="","",IF(ISNA(VLOOKUP($E83,DD!$A$2:$C$150,2,0)),"NO SUCH DIVE",VLOOKUP($E83,DD!$A$2:$C$150,2,0)))</f>
        <v/>
      </c>
      <c r="G83" s="51" t="str">
        <f>IF($E83="","",IF(ISNA(VLOOKUP($E83,DD!$A$2:$C$150,3,0)),"",VLOOKUP($E83,DD!$A$2:$C$150,3,0)))</f>
        <v/>
      </c>
      <c r="H83" s="52"/>
      <c r="I83" s="52"/>
      <c r="J83" s="52"/>
      <c r="K83" s="52"/>
      <c r="L83" s="52"/>
      <c r="M83" s="50"/>
      <c r="N83" s="45" t="str">
        <f t="shared" si="2"/>
        <v/>
      </c>
      <c r="O83" s="45" t="str">
        <f>IF(N83="","",N83+O82)</f>
        <v/>
      </c>
    </row>
    <row r="84" spans="1:15" x14ac:dyDescent="0.25">
      <c r="A84" s="97"/>
      <c r="B84" s="107"/>
      <c r="C84" s="106"/>
      <c r="D84" s="46">
        <v>3</v>
      </c>
      <c r="E84" s="62"/>
      <c r="F84" s="45" t="str">
        <f>IF($E84="","",IF(ISNA(VLOOKUP($E84,DD!$A$2:$C$150,2,0)),"NO SUCH DIVE",VLOOKUP($E84,DD!$A$2:$C$150,2,0)))</f>
        <v/>
      </c>
      <c r="G84" s="51" t="str">
        <f>IF($E84="","",IF(ISNA(VLOOKUP($E84,DD!$A$2:$C$150,3,0)),"",VLOOKUP($E84,DD!$A$2:$C$150,3,0)))</f>
        <v/>
      </c>
      <c r="H84" s="52"/>
      <c r="I84" s="52"/>
      <c r="J84" s="52"/>
      <c r="K84" s="52"/>
      <c r="L84" s="52"/>
      <c r="M84" s="50"/>
      <c r="N84" s="45" t="str">
        <f t="shared" si="2"/>
        <v/>
      </c>
      <c r="O84" s="45" t="str">
        <f>IF(N84="","",N84+O83)</f>
        <v/>
      </c>
    </row>
    <row r="85" spans="1:15" x14ac:dyDescent="0.25">
      <c r="A85" s="97"/>
      <c r="B85" s="107"/>
      <c r="C85" s="106"/>
      <c r="D85" s="46">
        <v>4</v>
      </c>
      <c r="E85" s="62"/>
      <c r="F85" s="45" t="str">
        <f>IF($E85="","",IF(ISNA(VLOOKUP($E85,DD!$A$2:$C$150,2,0)),"NO SUCH DIVE",VLOOKUP($E85,DD!$A$2:$C$150,2,0)))</f>
        <v/>
      </c>
      <c r="G85" s="46" t="str">
        <f>IF($E85="","",IF(ISNA(VLOOKUP($E85,DD!$A$2:$C$150,3,0)),"",VLOOKUP($E85,DD!$A$2:$C$150,3,0)))</f>
        <v/>
      </c>
      <c r="H85" s="52"/>
      <c r="I85" s="52"/>
      <c r="J85" s="52"/>
      <c r="K85" s="52"/>
      <c r="L85" s="52"/>
      <c r="M85" s="50"/>
      <c r="N85" s="45" t="str">
        <f t="shared" si="2"/>
        <v/>
      </c>
      <c r="O85" s="45" t="str">
        <f>IF(N85="","",N85+O84)</f>
        <v/>
      </c>
    </row>
    <row r="86" spans="1:15" x14ac:dyDescent="0.25">
      <c r="A86" s="97"/>
      <c r="B86" s="107"/>
      <c r="C86" s="106"/>
      <c r="D86" s="46">
        <v>5</v>
      </c>
      <c r="E86" s="62"/>
      <c r="F86" s="45" t="str">
        <f>IF($E86="","",IF(ISNA(VLOOKUP($E86,DD!$A$2:$C$150,2,0)),"NO SUCH DIVE",VLOOKUP($E86,DD!$A$2:$C$150,2,0)))</f>
        <v/>
      </c>
      <c r="G86" s="46" t="str">
        <f>IF($E86="","",IF(ISNA(VLOOKUP($E86,DD!$A$2:$C$150,3,0)),"",VLOOKUP($E86,DD!$A$2:$C$150,3,0)))</f>
        <v/>
      </c>
      <c r="H86" s="52"/>
      <c r="I86" s="52"/>
      <c r="J86" s="52"/>
      <c r="K86" s="52"/>
      <c r="L86" s="52"/>
      <c r="M86" s="50"/>
      <c r="N86" s="45" t="str">
        <f t="shared" si="2"/>
        <v/>
      </c>
      <c r="O86" s="54">
        <f>IF(N86="",0,N86+O85)</f>
        <v>0</v>
      </c>
    </row>
    <row r="87" spans="1:15" x14ac:dyDescent="0.25">
      <c r="A87" s="100">
        <v>18</v>
      </c>
      <c r="B87" s="101"/>
      <c r="C87" s="102"/>
      <c r="D87" s="55">
        <v>1</v>
      </c>
      <c r="E87" s="56"/>
      <c r="F87" s="57" t="str">
        <f>IF($E87="","",IF(ISNA(VLOOKUP($E87,DD!$A$2:$C$150,2,0)),"NO SUCH DIVE",VLOOKUP($E87,DD!$A$2:$C$150,2,0)))</f>
        <v/>
      </c>
      <c r="G87" s="58" t="str">
        <f>IF($E87="","",IF(ISNA(VLOOKUP($E87,DD!$A$2:$C$150,3,0)),"",VLOOKUP($E87,DD!$A$2:$C$150,3,0)))</f>
        <v/>
      </c>
      <c r="H87" s="59"/>
      <c r="I87" s="59"/>
      <c r="J87" s="59"/>
      <c r="K87" s="59"/>
      <c r="L87" s="59"/>
      <c r="M87" s="56"/>
      <c r="N87" s="57" t="str">
        <f t="shared" si="2"/>
        <v/>
      </c>
      <c r="O87" s="57" t="str">
        <f>IF(N87="","",N87)</f>
        <v/>
      </c>
    </row>
    <row r="88" spans="1:15" x14ac:dyDescent="0.25">
      <c r="A88" s="100"/>
      <c r="B88" s="101"/>
      <c r="C88" s="102"/>
      <c r="D88" s="55">
        <v>2</v>
      </c>
      <c r="E88" s="61"/>
      <c r="F88" s="57" t="str">
        <f>IF($E88="","",IF(ISNA(VLOOKUP($E88,DD!$A$2:$C$150,2,0)),"NO SUCH DIVE",VLOOKUP($E88,DD!$A$2:$C$150,2,0)))</f>
        <v/>
      </c>
      <c r="G88" s="58" t="str">
        <f>IF($E88="","",IF(ISNA(VLOOKUP($E88,DD!$A$2:$C$150,3,0)),"",VLOOKUP($E88,DD!$A$2:$C$150,3,0)))</f>
        <v/>
      </c>
      <c r="H88" s="59"/>
      <c r="I88" s="59"/>
      <c r="J88" s="59"/>
      <c r="K88" s="59"/>
      <c r="L88" s="59"/>
      <c r="M88" s="56"/>
      <c r="N88" s="57" t="str">
        <f t="shared" si="2"/>
        <v/>
      </c>
      <c r="O88" s="57" t="str">
        <f>IF(N88="","",N88+O87)</f>
        <v/>
      </c>
    </row>
    <row r="89" spans="1:15" x14ac:dyDescent="0.25">
      <c r="A89" s="100"/>
      <c r="B89" s="101"/>
      <c r="C89" s="102"/>
      <c r="D89" s="55">
        <v>3</v>
      </c>
      <c r="E89" s="61"/>
      <c r="F89" s="57" t="str">
        <f>IF($E89="","",IF(ISNA(VLOOKUP($E89,DD!$A$2:$C$150,2,0)),"NO SUCH DIVE",VLOOKUP($E89,DD!$A$2:$C$150,2,0)))</f>
        <v/>
      </c>
      <c r="G89" s="58" t="str">
        <f>IF($E89="","",IF(ISNA(VLOOKUP($E89,DD!$A$2:$C$150,3,0)),"",VLOOKUP($E89,DD!$A$2:$C$150,3,0)))</f>
        <v/>
      </c>
      <c r="H89" s="59"/>
      <c r="I89" s="59"/>
      <c r="J89" s="59"/>
      <c r="K89" s="59"/>
      <c r="L89" s="59"/>
      <c r="M89" s="56"/>
      <c r="N89" s="57" t="str">
        <f t="shared" si="2"/>
        <v/>
      </c>
      <c r="O89" s="57" t="str">
        <f>IF(N89="","",N89+O88)</f>
        <v/>
      </c>
    </row>
    <row r="90" spans="1:15" x14ac:dyDescent="0.25">
      <c r="A90" s="100"/>
      <c r="B90" s="101"/>
      <c r="C90" s="102"/>
      <c r="D90" s="55">
        <v>4</v>
      </c>
      <c r="E90" s="61"/>
      <c r="F90" s="57" t="str">
        <f>IF($E90="","",IF(ISNA(VLOOKUP($E90,DD!$A$2:$C$150,2,0)),"NO SUCH DIVE",VLOOKUP($E90,DD!$A$2:$C$150,2,0)))</f>
        <v/>
      </c>
      <c r="G90" s="55" t="str">
        <f>IF($E90="","",IF(ISNA(VLOOKUP($E90,DD!$A$2:$C$150,3,0)),"",VLOOKUP($E90,DD!$A$2:$C$150,3,0)))</f>
        <v/>
      </c>
      <c r="H90" s="59"/>
      <c r="I90" s="59"/>
      <c r="J90" s="59"/>
      <c r="K90" s="59"/>
      <c r="L90" s="59"/>
      <c r="M90" s="56"/>
      <c r="N90" s="57" t="str">
        <f t="shared" si="2"/>
        <v/>
      </c>
      <c r="O90" s="57" t="str">
        <f>IF(N90="","",N90+O89)</f>
        <v/>
      </c>
    </row>
    <row r="91" spans="1:15" x14ac:dyDescent="0.25">
      <c r="A91" s="100"/>
      <c r="B91" s="101"/>
      <c r="C91" s="102"/>
      <c r="D91" s="55">
        <v>5</v>
      </c>
      <c r="E91" s="61"/>
      <c r="F91" s="57" t="str">
        <f>IF($E91="","",IF(ISNA(VLOOKUP($E91,DD!$A$2:$C$150,2,0)),"NO SUCH DIVE",VLOOKUP($E91,DD!$A$2:$C$150,2,0)))</f>
        <v/>
      </c>
      <c r="G91" s="55" t="str">
        <f>IF($E91="","",IF(ISNA(VLOOKUP($E91,DD!$A$2:$C$150,3,0)),"",VLOOKUP($E91,DD!$A$2:$C$150,3,0)))</f>
        <v/>
      </c>
      <c r="H91" s="59"/>
      <c r="I91" s="59"/>
      <c r="J91" s="59"/>
      <c r="K91" s="59"/>
      <c r="L91" s="59"/>
      <c r="M91" s="56"/>
      <c r="N91" s="57" t="str">
        <f t="shared" si="2"/>
        <v/>
      </c>
      <c r="O91" s="60">
        <f>IF(N91="",0,N91+O90)</f>
        <v>0</v>
      </c>
    </row>
    <row r="92" spans="1:15" x14ac:dyDescent="0.25">
      <c r="A92" s="97">
        <v>19</v>
      </c>
      <c r="B92" s="107"/>
      <c r="C92" s="106"/>
      <c r="D92" s="46">
        <v>1</v>
      </c>
      <c r="E92" s="50"/>
      <c r="F92" s="45" t="str">
        <f>IF($E92="","",IF(ISNA(VLOOKUP($E92,DD!$A$2:$C$150,2,0)),"NO SUCH DIVE",VLOOKUP($E92,DD!$A$2:$C$150,2,0)))</f>
        <v/>
      </c>
      <c r="G92" s="51" t="str">
        <f>IF($E92="","",IF(ISNA(VLOOKUP($E92,DD!$A$2:$C$150,3,0)),"",VLOOKUP($E92,DD!$A$2:$C$150,3,0)))</f>
        <v/>
      </c>
      <c r="H92" s="52"/>
      <c r="I92" s="52"/>
      <c r="J92" s="52"/>
      <c r="K92" s="52"/>
      <c r="L92" s="52"/>
      <c r="M92" s="50"/>
      <c r="N92" s="45" t="str">
        <f t="shared" si="2"/>
        <v/>
      </c>
      <c r="O92" s="45" t="str">
        <f>IF(N92="","",N92)</f>
        <v/>
      </c>
    </row>
    <row r="93" spans="1:15" x14ac:dyDescent="0.25">
      <c r="A93" s="97"/>
      <c r="B93" s="107"/>
      <c r="C93" s="106"/>
      <c r="D93" s="46">
        <v>2</v>
      </c>
      <c r="E93" s="62"/>
      <c r="F93" s="45" t="str">
        <f>IF($E93="","",IF(ISNA(VLOOKUP($E93,DD!$A$2:$C$150,2,0)),"NO SUCH DIVE",VLOOKUP($E93,DD!$A$2:$C$150,2,0)))</f>
        <v/>
      </c>
      <c r="G93" s="51" t="str">
        <f>IF($E93="","",IF(ISNA(VLOOKUP($E93,DD!$A$2:$C$150,3,0)),"",VLOOKUP($E93,DD!$A$2:$C$150,3,0)))</f>
        <v/>
      </c>
      <c r="H93" s="52"/>
      <c r="I93" s="52"/>
      <c r="J93" s="52"/>
      <c r="K93" s="52"/>
      <c r="L93" s="52"/>
      <c r="M93" s="50"/>
      <c r="N93" s="45" t="str">
        <f t="shared" si="2"/>
        <v/>
      </c>
      <c r="O93" s="45" t="str">
        <f>IF(N93="","",N93+O92)</f>
        <v/>
      </c>
    </row>
    <row r="94" spans="1:15" x14ac:dyDescent="0.25">
      <c r="A94" s="97"/>
      <c r="B94" s="107"/>
      <c r="C94" s="106"/>
      <c r="D94" s="46">
        <v>3</v>
      </c>
      <c r="E94" s="62"/>
      <c r="F94" s="45" t="str">
        <f>IF($E94="","",IF(ISNA(VLOOKUP($E94,DD!$A$2:$C$150,2,0)),"NO SUCH DIVE",VLOOKUP($E94,DD!$A$2:$C$150,2,0)))</f>
        <v/>
      </c>
      <c r="G94" s="51" t="str">
        <f>IF($E94="","",IF(ISNA(VLOOKUP($E94,DD!$A$2:$C$150,3,0)),"",VLOOKUP($E94,DD!$A$2:$C$150,3,0)))</f>
        <v/>
      </c>
      <c r="H94" s="52"/>
      <c r="I94" s="52"/>
      <c r="J94" s="52"/>
      <c r="K94" s="52"/>
      <c r="L94" s="52"/>
      <c r="M94" s="50"/>
      <c r="N94" s="45" t="str">
        <f t="shared" si="2"/>
        <v/>
      </c>
      <c r="O94" s="45" t="str">
        <f>IF(N94="","",N94+O93)</f>
        <v/>
      </c>
    </row>
    <row r="95" spans="1:15" x14ac:dyDescent="0.25">
      <c r="A95" s="97"/>
      <c r="B95" s="107"/>
      <c r="C95" s="106"/>
      <c r="D95" s="46">
        <v>4</v>
      </c>
      <c r="E95" s="62"/>
      <c r="F95" s="45" t="str">
        <f>IF($E95="","",IF(ISNA(VLOOKUP($E95,DD!$A$2:$C$150,2,0)),"NO SUCH DIVE",VLOOKUP($E95,DD!$A$2:$C$150,2,0)))</f>
        <v/>
      </c>
      <c r="G95" s="46" t="str">
        <f>IF($E95="","",IF(ISNA(VLOOKUP($E95,DD!$A$2:$C$150,3,0)),"",VLOOKUP($E95,DD!$A$2:$C$150,3,0)))</f>
        <v/>
      </c>
      <c r="H95" s="52"/>
      <c r="I95" s="52"/>
      <c r="J95" s="52"/>
      <c r="K95" s="52"/>
      <c r="L95" s="52"/>
      <c r="M95" s="50"/>
      <c r="N95" s="45" t="str">
        <f t="shared" si="2"/>
        <v/>
      </c>
      <c r="O95" s="45" t="str">
        <f>IF(N95="","",N95+O94)</f>
        <v/>
      </c>
    </row>
    <row r="96" spans="1:15" x14ac:dyDescent="0.25">
      <c r="A96" s="97"/>
      <c r="B96" s="107"/>
      <c r="C96" s="106"/>
      <c r="D96" s="46">
        <v>5</v>
      </c>
      <c r="E96" s="62"/>
      <c r="F96" s="45" t="str">
        <f>IF($E96="","",IF(ISNA(VLOOKUP($E96,DD!$A$2:$C$150,2,0)),"NO SUCH DIVE",VLOOKUP($E96,DD!$A$2:$C$150,2,0)))</f>
        <v/>
      </c>
      <c r="G96" s="46" t="str">
        <f>IF($E96="","",IF(ISNA(VLOOKUP($E96,DD!$A$2:$C$150,3,0)),"",VLOOKUP($E96,DD!$A$2:$C$150,3,0)))</f>
        <v/>
      </c>
      <c r="H96" s="52"/>
      <c r="I96" s="52"/>
      <c r="J96" s="52"/>
      <c r="K96" s="52"/>
      <c r="L96" s="52"/>
      <c r="M96" s="50"/>
      <c r="N96" s="45" t="str">
        <f t="shared" si="2"/>
        <v/>
      </c>
      <c r="O96" s="54">
        <f>IF(N96="",0,N96+O95)</f>
        <v>0</v>
      </c>
    </row>
    <row r="97" spans="1:15" x14ac:dyDescent="0.25">
      <c r="A97" s="100">
        <v>20</v>
      </c>
      <c r="B97" s="101"/>
      <c r="C97" s="102"/>
      <c r="D97" s="55">
        <v>1</v>
      </c>
      <c r="E97" s="56"/>
      <c r="F97" s="57" t="str">
        <f>IF($E97="","",IF(ISNA(VLOOKUP($E97,DD!$A$2:$C$150,2,0)),"NO SUCH DIVE",VLOOKUP($E97,DD!$A$2:$C$150,2,0)))</f>
        <v/>
      </c>
      <c r="G97" s="58" t="str">
        <f>IF($E97="","",IF(ISNA(VLOOKUP($E97,DD!$A$2:$C$150,3,0)),"",VLOOKUP($E97,DD!$A$2:$C$150,3,0)))</f>
        <v/>
      </c>
      <c r="H97" s="59"/>
      <c r="I97" s="59"/>
      <c r="J97" s="59"/>
      <c r="K97" s="59"/>
      <c r="L97" s="59"/>
      <c r="M97" s="56"/>
      <c r="N97" s="57" t="str">
        <f t="shared" si="2"/>
        <v/>
      </c>
      <c r="O97" s="57" t="str">
        <f>IF(N97="","",N97)</f>
        <v/>
      </c>
    </row>
    <row r="98" spans="1:15" x14ac:dyDescent="0.25">
      <c r="A98" s="100"/>
      <c r="B98" s="101"/>
      <c r="C98" s="102"/>
      <c r="D98" s="55">
        <v>2</v>
      </c>
      <c r="E98" s="61"/>
      <c r="F98" s="57" t="str">
        <f>IF($E98="","",IF(ISNA(VLOOKUP($E98,DD!$A$2:$C$150,2,0)),"NO SUCH DIVE",VLOOKUP($E98,DD!$A$2:$C$150,2,0)))</f>
        <v/>
      </c>
      <c r="G98" s="58" t="str">
        <f>IF($E98="","",IF(ISNA(VLOOKUP($E98,DD!$A$2:$C$150,3,0)),"",VLOOKUP($E98,DD!$A$2:$C$150,3,0)))</f>
        <v/>
      </c>
      <c r="H98" s="59"/>
      <c r="I98" s="59"/>
      <c r="J98" s="59"/>
      <c r="K98" s="59"/>
      <c r="L98" s="59"/>
      <c r="M98" s="56"/>
      <c r="N98" s="57" t="str">
        <f t="shared" ref="N98:N121" si="3">IF(G98="","",IF(COUNT(H98:L98)=3,IF(M98&lt;&gt;"",(SUM(H98:J98)-6)*G98,SUM(H98:J98)*G98),IF(M98&lt;&gt;"",(SUM(H98:L98)-MAX(H98:L98)-MIN(H98:L98)-6)*G98,(SUM(H98:L98)-MAX(H98:L98)-MIN(H98:L98))*G98)))</f>
        <v/>
      </c>
      <c r="O98" s="57" t="str">
        <f>IF(N98="","",N98+O97)</f>
        <v/>
      </c>
    </row>
    <row r="99" spans="1:15" x14ac:dyDescent="0.25">
      <c r="A99" s="100"/>
      <c r="B99" s="101"/>
      <c r="C99" s="102"/>
      <c r="D99" s="55">
        <v>3</v>
      </c>
      <c r="E99" s="61"/>
      <c r="F99" s="57" t="str">
        <f>IF($E99="","",IF(ISNA(VLOOKUP($E99,DD!$A$2:$C$150,2,0)),"NO SUCH DIVE",VLOOKUP($E99,DD!$A$2:$C$150,2,0)))</f>
        <v/>
      </c>
      <c r="G99" s="58" t="str">
        <f>IF($E99="","",IF(ISNA(VLOOKUP($E99,DD!$A$2:$C$150,3,0)),"",VLOOKUP($E99,DD!$A$2:$C$150,3,0)))</f>
        <v/>
      </c>
      <c r="H99" s="59"/>
      <c r="I99" s="59"/>
      <c r="J99" s="59"/>
      <c r="K99" s="59"/>
      <c r="L99" s="59"/>
      <c r="M99" s="56"/>
      <c r="N99" s="57" t="str">
        <f t="shared" si="3"/>
        <v/>
      </c>
      <c r="O99" s="57" t="str">
        <f>IF(N99="","",N99+O98)</f>
        <v/>
      </c>
    </row>
    <row r="100" spans="1:15" x14ac:dyDescent="0.25">
      <c r="A100" s="100"/>
      <c r="B100" s="101"/>
      <c r="C100" s="102"/>
      <c r="D100" s="55">
        <v>4</v>
      </c>
      <c r="E100" s="61"/>
      <c r="F100" s="57" t="str">
        <f>IF($E100="","",IF(ISNA(VLOOKUP($E100,DD!$A$2:$C$150,2,0)),"NO SUCH DIVE",VLOOKUP($E100,DD!$A$2:$C$150,2,0)))</f>
        <v/>
      </c>
      <c r="G100" s="55" t="str">
        <f>IF($E100="","",IF(ISNA(VLOOKUP($E100,DD!$A$2:$C$150,3,0)),"",VLOOKUP($E100,DD!$A$2:$C$150,3,0)))</f>
        <v/>
      </c>
      <c r="H100" s="59"/>
      <c r="I100" s="59"/>
      <c r="J100" s="59"/>
      <c r="K100" s="59"/>
      <c r="L100" s="59"/>
      <c r="M100" s="56"/>
      <c r="N100" s="57" t="str">
        <f t="shared" si="3"/>
        <v/>
      </c>
      <c r="O100" s="57" t="str">
        <f>IF(N100="","",N100+O99)</f>
        <v/>
      </c>
    </row>
    <row r="101" spans="1:15" x14ac:dyDescent="0.25">
      <c r="A101" s="100"/>
      <c r="B101" s="101"/>
      <c r="C101" s="102"/>
      <c r="D101" s="55">
        <v>5</v>
      </c>
      <c r="E101" s="61"/>
      <c r="F101" s="57" t="str">
        <f>IF($E101="","",IF(ISNA(VLOOKUP($E101,DD!$A$2:$C$150,2,0)),"NO SUCH DIVE",VLOOKUP($E101,DD!$A$2:$C$150,2,0)))</f>
        <v/>
      </c>
      <c r="G101" s="55" t="str">
        <f>IF($E101="","",IF(ISNA(VLOOKUP($E101,DD!$A$2:$C$150,3,0)),"",VLOOKUP($E101,DD!$A$2:$C$150,3,0)))</f>
        <v/>
      </c>
      <c r="H101" s="59"/>
      <c r="I101" s="59"/>
      <c r="J101" s="59"/>
      <c r="K101" s="59"/>
      <c r="L101" s="59"/>
      <c r="M101" s="56"/>
      <c r="N101" s="57" t="str">
        <f t="shared" si="3"/>
        <v/>
      </c>
      <c r="O101" s="60">
        <f>IF(N101="",0,N101+O100)</f>
        <v>0</v>
      </c>
    </row>
    <row r="102" spans="1:15" x14ac:dyDescent="0.25">
      <c r="A102" s="97">
        <v>21</v>
      </c>
      <c r="B102" s="107"/>
      <c r="C102" s="106"/>
      <c r="D102" s="46">
        <v>1</v>
      </c>
      <c r="E102" s="50"/>
      <c r="F102" s="45" t="str">
        <f>IF($E102="","",IF(ISNA(VLOOKUP($E102,DD!$A$2:$C$150,2,0)),"NO SUCH DIVE",VLOOKUP($E102,DD!$A$2:$C$150,2,0)))</f>
        <v/>
      </c>
      <c r="G102" s="51" t="str">
        <f>IF($E102="","",IF(ISNA(VLOOKUP($E102,DD!$A$2:$C$150,3,0)),"",VLOOKUP($E102,DD!$A$2:$C$150,3,0)))</f>
        <v/>
      </c>
      <c r="H102" s="52"/>
      <c r="I102" s="52"/>
      <c r="J102" s="52"/>
      <c r="K102" s="52"/>
      <c r="L102" s="52"/>
      <c r="M102" s="50"/>
      <c r="N102" s="45" t="str">
        <f t="shared" si="3"/>
        <v/>
      </c>
      <c r="O102" s="45" t="str">
        <f>IF(N102="","",N102)</f>
        <v/>
      </c>
    </row>
    <row r="103" spans="1:15" x14ac:dyDescent="0.25">
      <c r="A103" s="97"/>
      <c r="B103" s="107"/>
      <c r="C103" s="106"/>
      <c r="D103" s="46">
        <v>2</v>
      </c>
      <c r="E103" s="62"/>
      <c r="F103" s="45" t="str">
        <f>IF($E103="","",IF(ISNA(VLOOKUP($E103,DD!$A$2:$C$150,2,0)),"NO SUCH DIVE",VLOOKUP($E103,DD!$A$2:$C$150,2,0)))</f>
        <v/>
      </c>
      <c r="G103" s="51" t="str">
        <f>IF($E103="","",IF(ISNA(VLOOKUP($E103,DD!$A$2:$C$150,3,0)),"",VLOOKUP($E103,DD!$A$2:$C$150,3,0)))</f>
        <v/>
      </c>
      <c r="H103" s="52"/>
      <c r="I103" s="52"/>
      <c r="J103" s="52"/>
      <c r="K103" s="52"/>
      <c r="L103" s="52"/>
      <c r="M103" s="50"/>
      <c r="N103" s="45" t="str">
        <f t="shared" si="3"/>
        <v/>
      </c>
      <c r="O103" s="45" t="str">
        <f>IF(N103="","",N103+O102)</f>
        <v/>
      </c>
    </row>
    <row r="104" spans="1:15" x14ac:dyDescent="0.25">
      <c r="A104" s="97"/>
      <c r="B104" s="107"/>
      <c r="C104" s="106"/>
      <c r="D104" s="46">
        <v>3</v>
      </c>
      <c r="E104" s="62"/>
      <c r="F104" s="45" t="str">
        <f>IF($E104="","",IF(ISNA(VLOOKUP($E104,DD!$A$2:$C$150,2,0)),"NO SUCH DIVE",VLOOKUP($E104,DD!$A$2:$C$150,2,0)))</f>
        <v/>
      </c>
      <c r="G104" s="51" t="str">
        <f>IF($E104="","",IF(ISNA(VLOOKUP($E104,DD!$A$2:$C$150,3,0)),"",VLOOKUP($E104,DD!$A$2:$C$150,3,0)))</f>
        <v/>
      </c>
      <c r="H104" s="52"/>
      <c r="I104" s="52"/>
      <c r="J104" s="52"/>
      <c r="K104" s="52"/>
      <c r="L104" s="52"/>
      <c r="M104" s="50"/>
      <c r="N104" s="45" t="str">
        <f t="shared" si="3"/>
        <v/>
      </c>
      <c r="O104" s="45" t="str">
        <f>IF(N104="","",N104+O103)</f>
        <v/>
      </c>
    </row>
    <row r="105" spans="1:15" x14ac:dyDescent="0.25">
      <c r="A105" s="97"/>
      <c r="B105" s="107"/>
      <c r="C105" s="106"/>
      <c r="D105" s="46">
        <v>4</v>
      </c>
      <c r="E105" s="62"/>
      <c r="F105" s="45" t="str">
        <f>IF($E105="","",IF(ISNA(VLOOKUP($E105,DD!$A$2:$C$150,2,0)),"NO SUCH DIVE",VLOOKUP($E105,DD!$A$2:$C$150,2,0)))</f>
        <v/>
      </c>
      <c r="G105" s="46" t="str">
        <f>IF($E105="","",IF(ISNA(VLOOKUP($E105,DD!$A$2:$C$150,3,0)),"",VLOOKUP($E105,DD!$A$2:$C$150,3,0)))</f>
        <v/>
      </c>
      <c r="H105" s="52"/>
      <c r="I105" s="52"/>
      <c r="J105" s="52"/>
      <c r="K105" s="52"/>
      <c r="L105" s="52"/>
      <c r="M105" s="50"/>
      <c r="N105" s="45" t="str">
        <f t="shared" si="3"/>
        <v/>
      </c>
      <c r="O105" s="45" t="str">
        <f>IF(N105="","",N105+O104)</f>
        <v/>
      </c>
    </row>
    <row r="106" spans="1:15" x14ac:dyDescent="0.25">
      <c r="A106" s="97"/>
      <c r="B106" s="107"/>
      <c r="C106" s="106"/>
      <c r="D106" s="46">
        <v>5</v>
      </c>
      <c r="E106" s="62"/>
      <c r="F106" s="45" t="str">
        <f>IF($E106="","",IF(ISNA(VLOOKUP($E106,DD!$A$2:$C$150,2,0)),"NO SUCH DIVE",VLOOKUP($E106,DD!$A$2:$C$150,2,0)))</f>
        <v/>
      </c>
      <c r="G106" s="46" t="str">
        <f>IF($E106="","",IF(ISNA(VLOOKUP($E106,DD!$A$2:$C$150,3,0)),"",VLOOKUP($E106,DD!$A$2:$C$150,3,0)))</f>
        <v/>
      </c>
      <c r="H106" s="52"/>
      <c r="I106" s="52"/>
      <c r="J106" s="52"/>
      <c r="K106" s="52"/>
      <c r="L106" s="52"/>
      <c r="M106" s="50"/>
      <c r="N106" s="45" t="str">
        <f t="shared" si="3"/>
        <v/>
      </c>
      <c r="O106" s="54">
        <f>IF(N106="",0,N106+O105)</f>
        <v>0</v>
      </c>
    </row>
    <row r="107" spans="1:15" x14ac:dyDescent="0.25">
      <c r="A107" s="100">
        <v>22</v>
      </c>
      <c r="B107" s="101"/>
      <c r="C107" s="102"/>
      <c r="D107" s="55">
        <v>1</v>
      </c>
      <c r="E107" s="56"/>
      <c r="F107" s="57" t="str">
        <f>IF($E107="","",IF(ISNA(VLOOKUP($E107,DD!$A$2:$C$150,2,0)),"NO SUCH DIVE",VLOOKUP($E107,DD!$A$2:$C$150,2,0)))</f>
        <v/>
      </c>
      <c r="G107" s="58" t="str">
        <f>IF($E107="","",IF(ISNA(VLOOKUP($E107,DD!$A$2:$C$150,3,0)),"",VLOOKUP($E107,DD!$A$2:$C$150,3,0)))</f>
        <v/>
      </c>
      <c r="H107" s="59"/>
      <c r="I107" s="59"/>
      <c r="J107" s="59"/>
      <c r="K107" s="59"/>
      <c r="L107" s="59"/>
      <c r="M107" s="56"/>
      <c r="N107" s="57" t="str">
        <f t="shared" si="3"/>
        <v/>
      </c>
      <c r="O107" s="57" t="str">
        <f>IF(N107="","",N107)</f>
        <v/>
      </c>
    </row>
    <row r="108" spans="1:15" x14ac:dyDescent="0.25">
      <c r="A108" s="100"/>
      <c r="B108" s="101"/>
      <c r="C108" s="102"/>
      <c r="D108" s="55">
        <v>2</v>
      </c>
      <c r="E108" s="61"/>
      <c r="F108" s="57" t="str">
        <f>IF($E108="","",IF(ISNA(VLOOKUP($E108,DD!$A$2:$C$150,2,0)),"NO SUCH DIVE",VLOOKUP($E108,DD!$A$2:$C$150,2,0)))</f>
        <v/>
      </c>
      <c r="G108" s="58" t="str">
        <f>IF($E108="","",IF(ISNA(VLOOKUP($E108,DD!$A$2:$C$150,3,0)),"",VLOOKUP($E108,DD!$A$2:$C$150,3,0)))</f>
        <v/>
      </c>
      <c r="H108" s="59"/>
      <c r="I108" s="59"/>
      <c r="J108" s="59"/>
      <c r="K108" s="59"/>
      <c r="L108" s="59"/>
      <c r="M108" s="56"/>
      <c r="N108" s="57" t="str">
        <f t="shared" si="3"/>
        <v/>
      </c>
      <c r="O108" s="57" t="str">
        <f>IF(N108="","",N108+O107)</f>
        <v/>
      </c>
    </row>
    <row r="109" spans="1:15" x14ac:dyDescent="0.25">
      <c r="A109" s="100"/>
      <c r="B109" s="101"/>
      <c r="C109" s="102"/>
      <c r="D109" s="55">
        <v>3</v>
      </c>
      <c r="E109" s="61"/>
      <c r="F109" s="57" t="str">
        <f>IF($E109="","",IF(ISNA(VLOOKUP($E109,DD!$A$2:$C$150,2,0)),"NO SUCH DIVE",VLOOKUP($E109,DD!$A$2:$C$150,2,0)))</f>
        <v/>
      </c>
      <c r="G109" s="58" t="str">
        <f>IF($E109="","",IF(ISNA(VLOOKUP($E109,DD!$A$2:$C$150,3,0)),"",VLOOKUP($E109,DD!$A$2:$C$150,3,0)))</f>
        <v/>
      </c>
      <c r="H109" s="59"/>
      <c r="I109" s="59"/>
      <c r="J109" s="59"/>
      <c r="K109" s="59"/>
      <c r="L109" s="59"/>
      <c r="M109" s="56"/>
      <c r="N109" s="57" t="str">
        <f t="shared" si="3"/>
        <v/>
      </c>
      <c r="O109" s="57" t="str">
        <f>IF(N109="","",N109+O108)</f>
        <v/>
      </c>
    </row>
    <row r="110" spans="1:15" x14ac:dyDescent="0.25">
      <c r="A110" s="100"/>
      <c r="B110" s="101"/>
      <c r="C110" s="102"/>
      <c r="D110" s="55">
        <v>4</v>
      </c>
      <c r="E110" s="61"/>
      <c r="F110" s="57" t="str">
        <f>IF($E110="","",IF(ISNA(VLOOKUP($E110,DD!$A$2:$C$150,2,0)),"NO SUCH DIVE",VLOOKUP($E110,DD!$A$2:$C$150,2,0)))</f>
        <v/>
      </c>
      <c r="G110" s="55" t="str">
        <f>IF($E110="","",IF(ISNA(VLOOKUP($E110,DD!$A$2:$C$150,3,0)),"",VLOOKUP($E110,DD!$A$2:$C$150,3,0)))</f>
        <v/>
      </c>
      <c r="H110" s="59"/>
      <c r="I110" s="59"/>
      <c r="J110" s="59"/>
      <c r="K110" s="59"/>
      <c r="L110" s="59"/>
      <c r="M110" s="56"/>
      <c r="N110" s="57" t="str">
        <f t="shared" si="3"/>
        <v/>
      </c>
      <c r="O110" s="57" t="str">
        <f>IF(N110="","",N110+O109)</f>
        <v/>
      </c>
    </row>
    <row r="111" spans="1:15" x14ac:dyDescent="0.25">
      <c r="A111" s="100"/>
      <c r="B111" s="101"/>
      <c r="C111" s="102"/>
      <c r="D111" s="55">
        <v>5</v>
      </c>
      <c r="E111" s="61"/>
      <c r="F111" s="57" t="str">
        <f>IF($E111="","",IF(ISNA(VLOOKUP($E111,DD!$A$2:$C$150,2,0)),"NO SUCH DIVE",VLOOKUP($E111,DD!$A$2:$C$150,2,0)))</f>
        <v/>
      </c>
      <c r="G111" s="55" t="str">
        <f>IF($E111="","",IF(ISNA(VLOOKUP($E111,DD!$A$2:$C$150,3,0)),"",VLOOKUP($E111,DD!$A$2:$C$150,3,0)))</f>
        <v/>
      </c>
      <c r="H111" s="59"/>
      <c r="I111" s="59"/>
      <c r="J111" s="59"/>
      <c r="K111" s="59"/>
      <c r="L111" s="59"/>
      <c r="M111" s="56"/>
      <c r="N111" s="57" t="str">
        <f t="shared" si="3"/>
        <v/>
      </c>
      <c r="O111" s="60">
        <f>IF(N111="",0,N111+O110)</f>
        <v>0</v>
      </c>
    </row>
    <row r="112" spans="1:15" x14ac:dyDescent="0.25">
      <c r="A112" s="97">
        <v>23</v>
      </c>
      <c r="B112" s="107"/>
      <c r="C112" s="106"/>
      <c r="D112" s="46">
        <v>1</v>
      </c>
      <c r="E112" s="50"/>
      <c r="F112" s="45" t="str">
        <f>IF($E112="","",IF(ISNA(VLOOKUP($E112,DD!$A$2:$C$150,2,0)),"NO SUCH DIVE",VLOOKUP($E112,DD!$A$2:$C$150,2,0)))</f>
        <v/>
      </c>
      <c r="G112" s="51" t="str">
        <f>IF($E112="","",IF(ISNA(VLOOKUP($E112,DD!$A$2:$C$150,3,0)),"",VLOOKUP($E112,DD!$A$2:$C$150,3,0)))</f>
        <v/>
      </c>
      <c r="H112" s="52"/>
      <c r="I112" s="52"/>
      <c r="J112" s="52"/>
      <c r="K112" s="52"/>
      <c r="L112" s="52"/>
      <c r="M112" s="50"/>
      <c r="N112" s="45" t="str">
        <f t="shared" si="3"/>
        <v/>
      </c>
      <c r="O112" s="45" t="str">
        <f>IF(N112="","",N112)</f>
        <v/>
      </c>
    </row>
    <row r="113" spans="1:20" x14ac:dyDescent="0.25">
      <c r="A113" s="97"/>
      <c r="B113" s="107"/>
      <c r="C113" s="106"/>
      <c r="D113" s="46">
        <v>2</v>
      </c>
      <c r="E113" s="62"/>
      <c r="F113" s="45" t="str">
        <f>IF($E113="","",IF(ISNA(VLOOKUP($E113,DD!$A$2:$C$150,2,0)),"NO SUCH DIVE",VLOOKUP($E113,DD!$A$2:$C$150,2,0)))</f>
        <v/>
      </c>
      <c r="G113" s="51" t="str">
        <f>IF($E113="","",IF(ISNA(VLOOKUP($E113,DD!$A$2:$C$150,3,0)),"",VLOOKUP($E113,DD!$A$2:$C$150,3,0)))</f>
        <v/>
      </c>
      <c r="H113" s="52"/>
      <c r="I113" s="52"/>
      <c r="J113" s="52"/>
      <c r="K113" s="52"/>
      <c r="L113" s="52"/>
      <c r="M113" s="50"/>
      <c r="N113" s="45" t="str">
        <f t="shared" si="3"/>
        <v/>
      </c>
      <c r="O113" s="45" t="str">
        <f>IF(N113="","",N113+O112)</f>
        <v/>
      </c>
    </row>
    <row r="114" spans="1:20" x14ac:dyDescent="0.25">
      <c r="A114" s="97"/>
      <c r="B114" s="107"/>
      <c r="C114" s="106"/>
      <c r="D114" s="46">
        <v>3</v>
      </c>
      <c r="E114" s="62"/>
      <c r="F114" s="45" t="str">
        <f>IF($E114="","",IF(ISNA(VLOOKUP($E114,DD!$A$2:$C$150,2,0)),"NO SUCH DIVE",VLOOKUP($E114,DD!$A$2:$C$150,2,0)))</f>
        <v/>
      </c>
      <c r="G114" s="51" t="str">
        <f>IF($E114="","",IF(ISNA(VLOOKUP($E114,DD!$A$2:$C$150,3,0)),"",VLOOKUP($E114,DD!$A$2:$C$150,3,0)))</f>
        <v/>
      </c>
      <c r="H114" s="52"/>
      <c r="I114" s="52"/>
      <c r="J114" s="52"/>
      <c r="K114" s="52"/>
      <c r="L114" s="52"/>
      <c r="M114" s="50"/>
      <c r="N114" s="45" t="str">
        <f t="shared" si="3"/>
        <v/>
      </c>
      <c r="O114" s="45" t="str">
        <f>IF(N114="","",N114+O113)</f>
        <v/>
      </c>
    </row>
    <row r="115" spans="1:20" x14ac:dyDescent="0.25">
      <c r="A115" s="97"/>
      <c r="B115" s="107"/>
      <c r="C115" s="106"/>
      <c r="D115" s="46">
        <v>4</v>
      </c>
      <c r="E115" s="62"/>
      <c r="F115" s="45" t="str">
        <f>IF($E115="","",IF(ISNA(VLOOKUP($E115,DD!$A$2:$C$150,2,0)),"NO SUCH DIVE",VLOOKUP($E115,DD!$A$2:$C$150,2,0)))</f>
        <v/>
      </c>
      <c r="G115" s="46" t="str">
        <f>IF($E115="","",IF(ISNA(VLOOKUP($E115,DD!$A$2:$C$150,3,0)),"",VLOOKUP($E115,DD!$A$2:$C$150,3,0)))</f>
        <v/>
      </c>
      <c r="H115" s="52"/>
      <c r="I115" s="52"/>
      <c r="J115" s="52"/>
      <c r="K115" s="52"/>
      <c r="L115" s="52"/>
      <c r="M115" s="50"/>
      <c r="N115" s="45" t="str">
        <f t="shared" si="3"/>
        <v/>
      </c>
      <c r="O115" s="45" t="str">
        <f>IF(N115="","",N115+O114)</f>
        <v/>
      </c>
    </row>
    <row r="116" spans="1:20" x14ac:dyDescent="0.25">
      <c r="A116" s="97"/>
      <c r="B116" s="107"/>
      <c r="C116" s="106"/>
      <c r="D116" s="46">
        <v>5</v>
      </c>
      <c r="E116" s="62"/>
      <c r="F116" s="45" t="str">
        <f>IF($E116="","",IF(ISNA(VLOOKUP($E116,DD!$A$2:$C$150,2,0)),"NO SUCH DIVE",VLOOKUP($E116,DD!$A$2:$C$150,2,0)))</f>
        <v/>
      </c>
      <c r="G116" s="46" t="str">
        <f>IF($E116="","",IF(ISNA(VLOOKUP($E116,DD!$A$2:$C$150,3,0)),"",VLOOKUP($E116,DD!$A$2:$C$150,3,0)))</f>
        <v/>
      </c>
      <c r="H116" s="52"/>
      <c r="I116" s="52"/>
      <c r="J116" s="52"/>
      <c r="K116" s="52"/>
      <c r="L116" s="52"/>
      <c r="M116" s="50"/>
      <c r="N116" s="45" t="str">
        <f t="shared" si="3"/>
        <v/>
      </c>
      <c r="O116" s="54">
        <f>IF(N116="",0,N116+O115)</f>
        <v>0</v>
      </c>
    </row>
    <row r="117" spans="1:20" x14ac:dyDescent="0.25">
      <c r="A117" s="100">
        <v>24</v>
      </c>
      <c r="B117" s="101"/>
      <c r="C117" s="102"/>
      <c r="D117" s="55">
        <v>1</v>
      </c>
      <c r="E117" s="56"/>
      <c r="F117" s="57" t="str">
        <f>IF($E117="","",IF(ISNA(VLOOKUP($E117,DD!$A$2:$C$150,2,0)),"NO SUCH DIVE",VLOOKUP($E117,DD!$A$2:$C$150,2,0)))</f>
        <v/>
      </c>
      <c r="G117" s="58" t="str">
        <f>IF($E117="","",IF(ISNA(VLOOKUP($E117,DD!$A$2:$C$150,3,0)),"",VLOOKUP($E117,DD!$A$2:$C$150,3,0)))</f>
        <v/>
      </c>
      <c r="H117" s="59"/>
      <c r="I117" s="59"/>
      <c r="J117" s="59"/>
      <c r="K117" s="59"/>
      <c r="L117" s="59"/>
      <c r="M117" s="56"/>
      <c r="N117" s="57" t="str">
        <f t="shared" si="3"/>
        <v/>
      </c>
      <c r="O117" s="57" t="str">
        <f>IF(N117="","",N117)</f>
        <v/>
      </c>
    </row>
    <row r="118" spans="1:20" x14ac:dyDescent="0.25">
      <c r="A118" s="100"/>
      <c r="B118" s="101"/>
      <c r="C118" s="102"/>
      <c r="D118" s="55">
        <v>2</v>
      </c>
      <c r="E118" s="61"/>
      <c r="F118" s="57" t="str">
        <f>IF($E118="","",IF(ISNA(VLOOKUP($E118,DD!$A$2:$C$150,2,0)),"NO SUCH DIVE",VLOOKUP($E118,DD!$A$2:$C$150,2,0)))</f>
        <v/>
      </c>
      <c r="G118" s="58" t="str">
        <f>IF($E118="","",IF(ISNA(VLOOKUP($E118,DD!$A$2:$C$150,3,0)),"",VLOOKUP($E118,DD!$A$2:$C$150,3,0)))</f>
        <v/>
      </c>
      <c r="H118" s="59"/>
      <c r="I118" s="59"/>
      <c r="J118" s="59"/>
      <c r="K118" s="59"/>
      <c r="L118" s="59"/>
      <c r="M118" s="56"/>
      <c r="N118" s="57" t="str">
        <f t="shared" si="3"/>
        <v/>
      </c>
      <c r="O118" s="57" t="str">
        <f>IF(N118="","",N118+O117)</f>
        <v/>
      </c>
    </row>
    <row r="119" spans="1:20" x14ac:dyDescent="0.25">
      <c r="A119" s="100"/>
      <c r="B119" s="101"/>
      <c r="C119" s="102"/>
      <c r="D119" s="55">
        <v>3</v>
      </c>
      <c r="E119" s="61"/>
      <c r="F119" s="57" t="str">
        <f>IF($E119="","",IF(ISNA(VLOOKUP($E119,DD!$A$2:$C$150,2,0)),"NO SUCH DIVE",VLOOKUP($E119,DD!$A$2:$C$150,2,0)))</f>
        <v/>
      </c>
      <c r="G119" s="58" t="str">
        <f>IF($E119="","",IF(ISNA(VLOOKUP($E119,DD!$A$2:$C$150,3,0)),"",VLOOKUP($E119,DD!$A$2:$C$150,3,0)))</f>
        <v/>
      </c>
      <c r="H119" s="59"/>
      <c r="I119" s="59"/>
      <c r="J119" s="59"/>
      <c r="K119" s="59"/>
      <c r="L119" s="59"/>
      <c r="M119" s="56"/>
      <c r="N119" s="57" t="str">
        <f t="shared" si="3"/>
        <v/>
      </c>
      <c r="O119" s="57" t="str">
        <f>IF(N119="","",N119+O118)</f>
        <v/>
      </c>
    </row>
    <row r="120" spans="1:20" x14ac:dyDescent="0.25">
      <c r="A120" s="100"/>
      <c r="B120" s="101"/>
      <c r="C120" s="102"/>
      <c r="D120" s="55">
        <v>4</v>
      </c>
      <c r="E120" s="61"/>
      <c r="F120" s="57" t="str">
        <f>IF($E120="","",IF(ISNA(VLOOKUP($E120,DD!$A$2:$C$150,2,0)),"NO SUCH DIVE",VLOOKUP($E120,DD!$A$2:$C$150,2,0)))</f>
        <v/>
      </c>
      <c r="G120" s="55" t="str">
        <f>IF($E120="","",IF(ISNA(VLOOKUP($E120,DD!$A$2:$C$150,3,0)),"",VLOOKUP($E120,DD!$A$2:$C$150,3,0)))</f>
        <v/>
      </c>
      <c r="H120" s="59"/>
      <c r="I120" s="59"/>
      <c r="J120" s="59"/>
      <c r="K120" s="59"/>
      <c r="L120" s="59"/>
      <c r="M120" s="56"/>
      <c r="N120" s="57" t="str">
        <f t="shared" si="3"/>
        <v/>
      </c>
      <c r="O120" s="57" t="str">
        <f>IF(N120="","",N120+O119)</f>
        <v/>
      </c>
    </row>
    <row r="121" spans="1:20" x14ac:dyDescent="0.25">
      <c r="A121" s="100"/>
      <c r="B121" s="101"/>
      <c r="C121" s="102"/>
      <c r="D121" s="55">
        <v>5</v>
      </c>
      <c r="E121" s="61"/>
      <c r="F121" s="57" t="str">
        <f>IF($E121="","",IF(ISNA(VLOOKUP($E121,DD!$A$2:$C$150,2,0)),"NO SUCH DIVE",VLOOKUP($E121,DD!$A$2:$C$150,2,0)))</f>
        <v/>
      </c>
      <c r="G121" s="55" t="str">
        <f>IF($E121="","",IF(ISNA(VLOOKUP($E121,DD!$A$2:$C$150,3,0)),"",VLOOKUP($E121,DD!$A$2:$C$150,3,0)))</f>
        <v/>
      </c>
      <c r="H121" s="59"/>
      <c r="I121" s="59"/>
      <c r="J121" s="59"/>
      <c r="K121" s="59"/>
      <c r="L121" s="59"/>
      <c r="M121" s="56"/>
      <c r="N121" s="57" t="str">
        <f t="shared" si="3"/>
        <v/>
      </c>
      <c r="O121" s="60">
        <f>IF(N121="",0,N121+O120)</f>
        <v>0</v>
      </c>
    </row>
    <row r="123" spans="1:20" ht="30" x14ac:dyDescent="0.25">
      <c r="C123" s="63" t="s">
        <v>78</v>
      </c>
      <c r="D123" s="64" t="s">
        <v>79</v>
      </c>
      <c r="E123" s="65" t="s">
        <v>80</v>
      </c>
      <c r="F123" s="65" t="s">
        <v>27</v>
      </c>
      <c r="G123" s="65" t="s">
        <v>33</v>
      </c>
      <c r="H123" s="65" t="s">
        <v>81</v>
      </c>
      <c r="I123" s="66" t="s">
        <v>30</v>
      </c>
      <c r="R123" s="45" t="str">
        <f>INFO!$B$4</f>
        <v>Side</v>
      </c>
      <c r="S123" s="45" t="str">
        <f>INFO!$B$5</f>
        <v>ALPS</v>
      </c>
    </row>
    <row r="124" spans="1:20" x14ac:dyDescent="0.25">
      <c r="C124" s="67">
        <f>IF(E124&lt;1,0,1)</f>
        <v>1</v>
      </c>
      <c r="D124" s="68">
        <f>IF(OR(C124&lt;1,H124&lt;&gt;"",COUNTIF(T$124:T124,T124)&gt;3),"",VLOOKUP(C124-COUNTA(H$124:H124),DD!$E$24:$F$49,2))</f>
        <v>16</v>
      </c>
      <c r="E124" s="69">
        <f>IF(LARGE($R$2:$R$25,1)&lt;1,0,LARGE($R$2:$R$25,1))</f>
        <v>186.90000299999997</v>
      </c>
      <c r="F124" s="70" t="str">
        <f t="shared" ref="F124:F147" si="4">VLOOKUP(E124,$R$2:$T$26,2,0)</f>
        <v>Hannah Di Francesco</v>
      </c>
      <c r="G124" s="68" t="str">
        <f t="shared" ref="G124:G147" si="5">VLOOKUP(E124,$R$2:$T$26,3,0)</f>
        <v>WLRC</v>
      </c>
      <c r="H124" s="71"/>
      <c r="I124" s="72" t="str">
        <f t="shared" ref="I124:I146" si="6">IF(AND(OR(C124=C123,C124=C125),C124&lt;&gt;0),"TIE","")</f>
        <v/>
      </c>
      <c r="R124" s="45">
        <f t="shared" ref="R124:R147" si="7">IF(G124=$R$123,D124,0)</f>
        <v>0</v>
      </c>
      <c r="S124" s="45">
        <f t="shared" ref="S124:S147" si="8">IF(G124=$S$123,D124,0)</f>
        <v>0</v>
      </c>
      <c r="T124" s="73" t="str">
        <f t="shared" ref="T124:T147" si="9">G124&amp;H124</f>
        <v>WLRC</v>
      </c>
    </row>
    <row r="125" spans="1:20" x14ac:dyDescent="0.25">
      <c r="C125" s="67">
        <f>IF(E125&lt;1,0,IF(INT(E125*100)=INT(E124*100),C124,2))</f>
        <v>2</v>
      </c>
      <c r="D125" s="68">
        <f>IF(OR(C125&lt;1,H125&lt;&gt;"",COUNTIF(T$124:T125,T125)&gt;3),"",VLOOKUP(C125-COUNTA(H$124:H125),DD!$E$24:$F$49,2))</f>
        <v>14</v>
      </c>
      <c r="E125" s="69">
        <f>IF(LARGE($R$2:$R$25,2)&lt;1,0,LARGE($R$2:$R$25,2))</f>
        <v>143.50000800000001</v>
      </c>
      <c r="F125" s="70" t="str">
        <f t="shared" si="4"/>
        <v>Zoë Di Francesco</v>
      </c>
      <c r="G125" s="68" t="str">
        <f t="shared" si="5"/>
        <v>WLRC</v>
      </c>
      <c r="H125" s="71"/>
      <c r="I125" s="72" t="str">
        <f t="shared" si="6"/>
        <v/>
      </c>
      <c r="R125" s="45">
        <f t="shared" si="7"/>
        <v>0</v>
      </c>
      <c r="S125" s="45">
        <f t="shared" si="8"/>
        <v>0</v>
      </c>
      <c r="T125" s="73" t="str">
        <f t="shared" si="9"/>
        <v>WLRC</v>
      </c>
    </row>
    <row r="126" spans="1:20" x14ac:dyDescent="0.25">
      <c r="C126" s="67">
        <f>IF(E126&lt;1,0,IF(INT(E126*100)=INT(E125*100),C125,3))</f>
        <v>3</v>
      </c>
      <c r="D126" s="68">
        <f>IF(OR(C126&lt;1,H126&lt;&gt;"",COUNTIF(T$124:T126,T126)&gt;3),"",VLOOKUP(C126-COUNTA(H$124:H126),DD!$E$24:$F$49,2))</f>
        <v>12</v>
      </c>
      <c r="E126" s="69">
        <f>IF(LARGE($R$2:$R$25,3)&lt;1,0,LARGE($R$2:$R$25,3))</f>
        <v>135.25000199999999</v>
      </c>
      <c r="F126" s="70" t="str">
        <f t="shared" si="4"/>
        <v>Stef Reeves</v>
      </c>
      <c r="G126" s="68" t="str">
        <f t="shared" si="5"/>
        <v>Cedar</v>
      </c>
      <c r="H126" s="71"/>
      <c r="I126" s="72" t="str">
        <f t="shared" si="6"/>
        <v/>
      </c>
      <c r="R126" s="45">
        <f t="shared" si="7"/>
        <v>0</v>
      </c>
      <c r="S126" s="45">
        <f t="shared" si="8"/>
        <v>0</v>
      </c>
      <c r="T126" s="73" t="str">
        <f t="shared" si="9"/>
        <v>Cedar</v>
      </c>
    </row>
    <row r="127" spans="1:20" x14ac:dyDescent="0.25">
      <c r="C127" s="67">
        <f>IF(E127&lt;1,0,IF(INT(E127*100)=INT(E126*100),C126,4))</f>
        <v>4</v>
      </c>
      <c r="D127" s="68">
        <f>IF(OR(C127&lt;1,H127&lt;&gt;"",COUNTIF(T$124:T127,T127)&gt;3),"",VLOOKUP(C127-COUNTA(H$124:H127),DD!$E$24:$F$49,2))</f>
        <v>11</v>
      </c>
      <c r="E127" s="69">
        <f>IF(LARGE($R$2:$R$25,4)&lt;1,0,LARGE($R$2:$R$25,4))</f>
        <v>134.700006</v>
      </c>
      <c r="F127" s="70" t="str">
        <f t="shared" si="4"/>
        <v>Margaret Marak</v>
      </c>
      <c r="G127" s="68" t="str">
        <f t="shared" si="5"/>
        <v>PVPC</v>
      </c>
      <c r="H127" s="71"/>
      <c r="I127" s="72" t="str">
        <f t="shared" si="6"/>
        <v/>
      </c>
      <c r="R127" s="45">
        <f t="shared" si="7"/>
        <v>0</v>
      </c>
      <c r="S127" s="45">
        <f t="shared" si="8"/>
        <v>0</v>
      </c>
      <c r="T127" s="73" t="str">
        <f t="shared" si="9"/>
        <v>PVPC</v>
      </c>
    </row>
    <row r="128" spans="1:20" x14ac:dyDescent="0.25">
      <c r="C128" s="67">
        <f>IF(E128&lt;1,0,IF(INT(E128*100)=INT(E127*100),C127,5))</f>
        <v>5</v>
      </c>
      <c r="D128" s="68">
        <f>IF(OR(C128&lt;1,H128&lt;&gt;"",COUNTIF(T$124:T128,T128)&gt;3),"",VLOOKUP(C128-COUNTA(H$124:H128),DD!$E$24:$F$49,2))</f>
        <v>10</v>
      </c>
      <c r="E128" s="69">
        <f>IF(LARGE($R$2:$R$25,5)&lt;1,0,LARGE($R$2:$R$25,5))</f>
        <v>108.35001199999999</v>
      </c>
      <c r="F128" s="70" t="str">
        <f t="shared" si="4"/>
        <v>Abby W.-A.</v>
      </c>
      <c r="G128" s="68" t="str">
        <f t="shared" si="5"/>
        <v>Val</v>
      </c>
      <c r="H128" s="71"/>
      <c r="I128" s="72" t="str">
        <f t="shared" si="6"/>
        <v/>
      </c>
      <c r="R128" s="45">
        <f t="shared" si="7"/>
        <v>0</v>
      </c>
      <c r="S128" s="45">
        <f t="shared" si="8"/>
        <v>0</v>
      </c>
      <c r="T128" s="73" t="str">
        <f t="shared" si="9"/>
        <v>Val</v>
      </c>
    </row>
    <row r="129" spans="3:20" x14ac:dyDescent="0.25">
      <c r="C129" s="67">
        <f>IF(E129&lt;1,0,IF(INT(E129*100)=INT(E128*100),C128,6))</f>
        <v>6</v>
      </c>
      <c r="D129" s="68">
        <f>IF(OR(C129&lt;1,H129&lt;&gt;"",COUNTIF(T$124:T129,T129)&gt;3),"",VLOOKUP(C129-COUNTA(H$124:H129),DD!$E$24:$F$49,2))</f>
        <v>9</v>
      </c>
      <c r="E129" s="69">
        <f>IF(LARGE($R$2:$R$25,6)&lt;1,0,LARGE($R$2:$R$25,6))</f>
        <v>101.40000400000001</v>
      </c>
      <c r="F129" s="70" t="str">
        <f t="shared" si="4"/>
        <v>Victoria Hanna</v>
      </c>
      <c r="G129" s="68" t="str">
        <f t="shared" si="5"/>
        <v>HCP</v>
      </c>
      <c r="H129" s="71"/>
      <c r="I129" s="72" t="str">
        <f t="shared" si="6"/>
        <v/>
      </c>
      <c r="R129" s="45">
        <f t="shared" si="7"/>
        <v>0</v>
      </c>
      <c r="S129" s="45">
        <f t="shared" si="8"/>
        <v>0</v>
      </c>
      <c r="T129" s="73" t="str">
        <f t="shared" si="9"/>
        <v>HCP</v>
      </c>
    </row>
    <row r="130" spans="3:20" x14ac:dyDescent="0.25">
      <c r="C130" s="67">
        <f>IF(E130&lt;1,0,IF(INT(E130*100)=INT(E129*100),C129,7))</f>
        <v>7</v>
      </c>
      <c r="D130" s="68">
        <f>IF(OR(C130&lt;1,H130&lt;&gt;"",COUNTIF(T$124:T130,T130)&gt;3),"",VLOOKUP(C130-COUNTA(H$124:H130),DD!$E$24:$F$49,2))</f>
        <v>7</v>
      </c>
      <c r="E130" s="69">
        <f>IF(LARGE($R$2:$R$25,7)&lt;1,0,LARGE($R$2:$R$25,7))</f>
        <v>98.900008999999997</v>
      </c>
      <c r="F130" s="70" t="str">
        <f t="shared" si="4"/>
        <v>Emma Geoffroy</v>
      </c>
      <c r="G130" s="68" t="str">
        <f t="shared" si="5"/>
        <v>Cedar</v>
      </c>
      <c r="H130" s="71"/>
      <c r="I130" s="72" t="str">
        <f t="shared" si="6"/>
        <v/>
      </c>
      <c r="R130" s="45">
        <f t="shared" si="7"/>
        <v>0</v>
      </c>
      <c r="S130" s="45">
        <f t="shared" si="8"/>
        <v>0</v>
      </c>
      <c r="T130" s="73" t="str">
        <f t="shared" si="9"/>
        <v>Cedar</v>
      </c>
    </row>
    <row r="131" spans="3:20" x14ac:dyDescent="0.25">
      <c r="C131" s="67">
        <f>IF(E131&lt;1,0,IF(INT(E131*100)=INT(E130*100),C130,8))</f>
        <v>8</v>
      </c>
      <c r="D131" s="68">
        <f>IF(OR(C131&lt;1,H131&lt;&gt;"",COUNTIF(T$124:T131,T131)&gt;3),"",VLOOKUP(C131-COUNTA(H$124:H131),DD!$E$24:$F$49,2))</f>
        <v>5</v>
      </c>
      <c r="E131" s="69">
        <f>IF(LARGE($R$2:$R$25,8)&lt;1,0,LARGE($R$2:$R$25,8))</f>
        <v>91.400006999999988</v>
      </c>
      <c r="F131" s="70" t="str">
        <f t="shared" si="4"/>
        <v>Hannah Long-Metcalf</v>
      </c>
      <c r="G131" s="68" t="str">
        <f t="shared" si="5"/>
        <v>Cedar</v>
      </c>
      <c r="H131" s="71"/>
      <c r="I131" s="72" t="str">
        <f t="shared" si="6"/>
        <v/>
      </c>
      <c r="R131" s="45">
        <f t="shared" si="7"/>
        <v>0</v>
      </c>
      <c r="S131" s="45">
        <f t="shared" si="8"/>
        <v>0</v>
      </c>
      <c r="T131" s="73" t="str">
        <f t="shared" si="9"/>
        <v>Cedar</v>
      </c>
    </row>
    <row r="132" spans="3:20" x14ac:dyDescent="0.25">
      <c r="C132" s="67">
        <f>IF(E132&lt;1,0,IF(INT(E132*100)=INT(E131*100),C131,9))</f>
        <v>9</v>
      </c>
      <c r="D132" s="68">
        <f>IF(OR(C132&lt;1,H132&lt;&gt;"",COUNTIF(T$124:T132,T132)&gt;3),"",VLOOKUP(C132-COUNTA(H$124:H132),DD!$E$24:$F$49,2))</f>
        <v>4</v>
      </c>
      <c r="E132" s="69">
        <f>IF(LARGE($R$2:$R$25,9)&lt;1,0,LARGE($R$2:$R$25,9))</f>
        <v>90.700010999999989</v>
      </c>
      <c r="F132" s="70" t="str">
        <f t="shared" si="4"/>
        <v>Dana Hay</v>
      </c>
      <c r="G132" s="68" t="str">
        <f t="shared" si="5"/>
        <v>Side</v>
      </c>
      <c r="H132" s="71"/>
      <c r="I132" s="72" t="str">
        <f t="shared" si="6"/>
        <v/>
      </c>
      <c r="R132" s="45">
        <f t="shared" si="7"/>
        <v>4</v>
      </c>
      <c r="S132" s="45">
        <f t="shared" si="8"/>
        <v>0</v>
      </c>
      <c r="T132" s="73" t="str">
        <f t="shared" si="9"/>
        <v>Side</v>
      </c>
    </row>
    <row r="133" spans="3:20" x14ac:dyDescent="0.25">
      <c r="C133" s="67">
        <f>IF(E133&lt;1,0,IF(INT(E133*100)=INT(E132*100),C132,10))</f>
        <v>10</v>
      </c>
      <c r="D133" s="68">
        <f>IF(OR(C133&lt;1,H133&lt;&gt;"",COUNTIF(T$124:T133,T133)&gt;3),"",VLOOKUP(C133-COUNTA(H$124:H133),DD!$E$24:$F$49,2))</f>
        <v>3</v>
      </c>
      <c r="E133" s="69">
        <f>IF(LARGE($R$2:$R$25,10)&lt;1,0,LARGE($R$2:$R$25,10))</f>
        <v>87.550004999999999</v>
      </c>
      <c r="F133" s="70" t="str">
        <f t="shared" si="4"/>
        <v>Sammy Sherrard</v>
      </c>
      <c r="G133" s="68" t="str">
        <f t="shared" si="5"/>
        <v>Val</v>
      </c>
      <c r="H133" s="71"/>
      <c r="I133" s="72" t="str">
        <f t="shared" si="6"/>
        <v/>
      </c>
      <c r="R133" s="45">
        <f t="shared" si="7"/>
        <v>0</v>
      </c>
      <c r="S133" s="45">
        <f t="shared" si="8"/>
        <v>0</v>
      </c>
      <c r="T133" s="73" t="str">
        <f t="shared" si="9"/>
        <v>Val</v>
      </c>
    </row>
    <row r="134" spans="3:20" x14ac:dyDescent="0.25">
      <c r="C134" s="67">
        <f>IF(E134&lt;1,0,IF(INT(E134*100)=INT(E133*100),C133,11))</f>
        <v>11</v>
      </c>
      <c r="D134" s="68">
        <f>IF(OR(C134&lt;1,H134&lt;&gt;"",COUNTIF(T$124:T134,T134)&gt;3),"",VLOOKUP(C134-COUNTA(H$124:H134),DD!$E$24:$F$49,2))</f>
        <v>2</v>
      </c>
      <c r="E134" s="69">
        <f>IF(LARGE($R$2:$R$25,11)&lt;1,0,LARGE($R$2:$R$25,11))</f>
        <v>77.750010000000003</v>
      </c>
      <c r="F134" s="70" t="str">
        <f t="shared" si="4"/>
        <v>Lauren Kuzak</v>
      </c>
      <c r="G134" s="68" t="str">
        <f t="shared" si="5"/>
        <v>Side</v>
      </c>
      <c r="H134" s="71"/>
      <c r="I134" s="72" t="str">
        <f t="shared" si="6"/>
        <v/>
      </c>
      <c r="R134" s="45">
        <f t="shared" si="7"/>
        <v>2</v>
      </c>
      <c r="S134" s="45">
        <f t="shared" si="8"/>
        <v>0</v>
      </c>
      <c r="T134" s="73" t="str">
        <f t="shared" si="9"/>
        <v>Side</v>
      </c>
    </row>
    <row r="135" spans="3:20" x14ac:dyDescent="0.25">
      <c r="C135" s="67">
        <f>IF(E135&lt;1,0,IF(INT(E135*100)=INT(E134*100),C134,12))</f>
        <v>0</v>
      </c>
      <c r="D135" s="68" t="str">
        <f>IF(OR(C135&lt;1,H135&lt;&gt;"",COUNTIF(T$124:T135,T135)&gt;3),"",VLOOKUP(C135-COUNTA(H$124:H135),DD!$E$24:$F$49,2))</f>
        <v/>
      </c>
      <c r="E135" s="69">
        <f>IF(LARGE($R$2:$R$25,12)&lt;1,0,LARGE($R$2:$R$25,12))</f>
        <v>0</v>
      </c>
      <c r="F135" s="70">
        <f t="shared" si="4"/>
        <v>0</v>
      </c>
      <c r="G135" s="68">
        <f t="shared" si="5"/>
        <v>0</v>
      </c>
      <c r="H135" s="71"/>
      <c r="I135" s="72" t="str">
        <f t="shared" si="6"/>
        <v/>
      </c>
      <c r="R135" s="45">
        <f t="shared" si="7"/>
        <v>0</v>
      </c>
      <c r="S135" s="45">
        <f t="shared" si="8"/>
        <v>0</v>
      </c>
      <c r="T135" s="73" t="str">
        <f t="shared" si="9"/>
        <v>0</v>
      </c>
    </row>
    <row r="136" spans="3:20" x14ac:dyDescent="0.25">
      <c r="C136" s="67">
        <f>IF(E136&lt;1,0,IF(INT(E136*100)=INT(E135*100),C135,13))</f>
        <v>0</v>
      </c>
      <c r="D136" s="68" t="str">
        <f>IF(OR(C136&lt;1,H136&lt;&gt;"",COUNTIF(T$124:T136,T136)&gt;3),"",VLOOKUP(C136-COUNTA(H$124:H136),DD!$E$24:$F$49,2))</f>
        <v/>
      </c>
      <c r="E136" s="69">
        <f>IF(LARGE($R$2:$R$25,13)&lt;1,0,LARGE($R$2:$R$25,13))</f>
        <v>0</v>
      </c>
      <c r="F136" s="70">
        <f t="shared" si="4"/>
        <v>0</v>
      </c>
      <c r="G136" s="68">
        <f t="shared" si="5"/>
        <v>0</v>
      </c>
      <c r="H136" s="71"/>
      <c r="I136" s="72" t="str">
        <f t="shared" si="6"/>
        <v/>
      </c>
      <c r="R136" s="45">
        <f t="shared" si="7"/>
        <v>0</v>
      </c>
      <c r="S136" s="45">
        <f t="shared" si="8"/>
        <v>0</v>
      </c>
      <c r="T136" s="73" t="str">
        <f t="shared" si="9"/>
        <v>0</v>
      </c>
    </row>
    <row r="137" spans="3:20" x14ac:dyDescent="0.25">
      <c r="C137" s="67">
        <f>IF(E137&lt;1,0,IF(INT(E137*100)=INT(E136*100),C136,14))</f>
        <v>0</v>
      </c>
      <c r="D137" s="68" t="str">
        <f>IF(OR(C137&lt;1,H137&lt;&gt;"",COUNTIF(T$124:T137,T137)&gt;3),"",VLOOKUP(C137-COUNTA(H$124:H137),DD!$E$24:$F$49,2))</f>
        <v/>
      </c>
      <c r="E137" s="69">
        <f>IF(LARGE($R$2:$R$25,14)&lt;1,0,LARGE($R$2:$R$25,14))</f>
        <v>0</v>
      </c>
      <c r="F137" s="70">
        <f t="shared" si="4"/>
        <v>0</v>
      </c>
      <c r="G137" s="68">
        <f t="shared" si="5"/>
        <v>0</v>
      </c>
      <c r="H137" s="71"/>
      <c r="I137" s="72" t="str">
        <f t="shared" si="6"/>
        <v/>
      </c>
      <c r="R137" s="45">
        <f t="shared" si="7"/>
        <v>0</v>
      </c>
      <c r="S137" s="45">
        <f t="shared" si="8"/>
        <v>0</v>
      </c>
      <c r="T137" s="73" t="str">
        <f t="shared" si="9"/>
        <v>0</v>
      </c>
    </row>
    <row r="138" spans="3:20" x14ac:dyDescent="0.25">
      <c r="C138" s="67">
        <f>IF(E138&lt;1,0,IF(INT(E138*100)=INT(E137*100),C137,15))</f>
        <v>0</v>
      </c>
      <c r="D138" s="68" t="str">
        <f>IF(OR(C138&lt;1,H138&lt;&gt;"",COUNTIF(T$124:T138,T138)&gt;3),"",VLOOKUP(C138-COUNTA(H$124:H138),DD!$E$24:$F$49,2))</f>
        <v/>
      </c>
      <c r="E138" s="69">
        <f>IF(LARGE($R$2:$R$25,15)&lt;1,0,LARGE($R$2:$R$25,15))</f>
        <v>0</v>
      </c>
      <c r="F138" s="70">
        <f t="shared" si="4"/>
        <v>0</v>
      </c>
      <c r="G138" s="68">
        <f t="shared" si="5"/>
        <v>0</v>
      </c>
      <c r="H138" s="71"/>
      <c r="I138" s="72" t="str">
        <f t="shared" si="6"/>
        <v/>
      </c>
      <c r="R138" s="45">
        <f t="shared" si="7"/>
        <v>0</v>
      </c>
      <c r="S138" s="45">
        <f t="shared" si="8"/>
        <v>0</v>
      </c>
      <c r="T138" s="73" t="str">
        <f t="shared" si="9"/>
        <v>0</v>
      </c>
    </row>
    <row r="139" spans="3:20" x14ac:dyDescent="0.25">
      <c r="C139" s="67">
        <f>IF(E139&lt;1,0,IF(INT(E139*100)=INT(E138*100),C138,16))</f>
        <v>0</v>
      </c>
      <c r="D139" s="68" t="str">
        <f>IF(OR(C139&lt;1,H139&lt;&gt;"",COUNTIF(T$124:T139,T139)&gt;3),"",VLOOKUP(C139-COUNTA(H$124:H139),DD!$E$24:$F$49,2))</f>
        <v/>
      </c>
      <c r="E139" s="69">
        <f>IF(LARGE($R$2:$R$25,16)&lt;1,0,LARGE($R$2:$R$25,16))</f>
        <v>0</v>
      </c>
      <c r="F139" s="70">
        <f t="shared" si="4"/>
        <v>0</v>
      </c>
      <c r="G139" s="68">
        <f t="shared" si="5"/>
        <v>0</v>
      </c>
      <c r="H139" s="71"/>
      <c r="I139" s="72" t="str">
        <f t="shared" si="6"/>
        <v/>
      </c>
      <c r="R139" s="45">
        <f t="shared" si="7"/>
        <v>0</v>
      </c>
      <c r="S139" s="45">
        <f t="shared" si="8"/>
        <v>0</v>
      </c>
      <c r="T139" s="73" t="str">
        <f t="shared" si="9"/>
        <v>0</v>
      </c>
    </row>
    <row r="140" spans="3:20" x14ac:dyDescent="0.25">
      <c r="C140" s="67">
        <f>IF(E140&lt;1,0,IF(INT(E140*100)=INT(E139*100),C139,17))</f>
        <v>0</v>
      </c>
      <c r="D140" s="68" t="str">
        <f>IF(OR(C140&lt;1,H140&lt;&gt;"",COUNTIF(T$124:T140,T140)&gt;3),"",VLOOKUP(C140-COUNTA(H$124:H140),DD!$E$24:$F$49,2))</f>
        <v/>
      </c>
      <c r="E140" s="69">
        <f>IF(LARGE($R$2:$R$25,17)&lt;1,0,LARGE($R$2:$R$25,17))</f>
        <v>0</v>
      </c>
      <c r="F140" s="70">
        <f t="shared" si="4"/>
        <v>0</v>
      </c>
      <c r="G140" s="68">
        <f t="shared" si="5"/>
        <v>0</v>
      </c>
      <c r="H140" s="71"/>
      <c r="I140" s="72" t="str">
        <f t="shared" si="6"/>
        <v/>
      </c>
      <c r="R140" s="45">
        <f t="shared" si="7"/>
        <v>0</v>
      </c>
      <c r="S140" s="45">
        <f t="shared" si="8"/>
        <v>0</v>
      </c>
      <c r="T140" s="73" t="str">
        <f t="shared" si="9"/>
        <v>0</v>
      </c>
    </row>
    <row r="141" spans="3:20" x14ac:dyDescent="0.25">
      <c r="C141" s="67">
        <f>IF(E141&lt;1,0,IF(INT(E141*100)=INT(E140*100),C140,18))</f>
        <v>0</v>
      </c>
      <c r="D141" s="68" t="str">
        <f>IF(OR(C141&lt;1,H141&lt;&gt;"",COUNTIF(T$124:T141,T141)&gt;3),"",VLOOKUP(C141-COUNTA(H$124:H141),DD!$E$24:$F$49,2))</f>
        <v/>
      </c>
      <c r="E141" s="69">
        <f>IF(LARGE($R$2:$R$25,18)&lt;1,0,LARGE($R$2:$R$25,18))</f>
        <v>0</v>
      </c>
      <c r="F141" s="70">
        <f t="shared" si="4"/>
        <v>0</v>
      </c>
      <c r="G141" s="68">
        <f t="shared" si="5"/>
        <v>0</v>
      </c>
      <c r="H141" s="71"/>
      <c r="I141" s="72" t="str">
        <f t="shared" si="6"/>
        <v/>
      </c>
      <c r="R141" s="45">
        <f t="shared" si="7"/>
        <v>0</v>
      </c>
      <c r="S141" s="45">
        <f t="shared" si="8"/>
        <v>0</v>
      </c>
      <c r="T141" s="73" t="str">
        <f t="shared" si="9"/>
        <v>0</v>
      </c>
    </row>
    <row r="142" spans="3:20" x14ac:dyDescent="0.25">
      <c r="C142" s="67">
        <f>IF(E142&lt;1,0,IF(INT(E142*100)=INT(E141*100),C141,19))</f>
        <v>0</v>
      </c>
      <c r="D142" s="68" t="str">
        <f>IF(OR(C142&lt;1,H142&lt;&gt;"",COUNTIF(T$124:T142,T142)&gt;3),"",VLOOKUP(C142-COUNTA(H$124:H142),DD!$E$24:$F$49,2))</f>
        <v/>
      </c>
      <c r="E142" s="69">
        <f>IF(LARGE($R$2:$R$25,19)&lt;1,0,LARGE($R$2:$R$25,19))</f>
        <v>0</v>
      </c>
      <c r="F142" s="70">
        <f t="shared" si="4"/>
        <v>0</v>
      </c>
      <c r="G142" s="68">
        <f t="shared" si="5"/>
        <v>0</v>
      </c>
      <c r="H142" s="71"/>
      <c r="I142" s="72" t="str">
        <f t="shared" si="6"/>
        <v/>
      </c>
      <c r="R142" s="45">
        <f t="shared" si="7"/>
        <v>0</v>
      </c>
      <c r="S142" s="45">
        <f t="shared" si="8"/>
        <v>0</v>
      </c>
      <c r="T142" s="73" t="str">
        <f t="shared" si="9"/>
        <v>0</v>
      </c>
    </row>
    <row r="143" spans="3:20" x14ac:dyDescent="0.25">
      <c r="C143" s="67">
        <f>IF(E143&lt;1,0,IF(INT(E143*100)=INT(E142*100),C142,20))</f>
        <v>0</v>
      </c>
      <c r="D143" s="68" t="str">
        <f>IF(OR(C143&lt;1,H143&lt;&gt;"",COUNTIF(T$124:T143,T143)&gt;3),"",VLOOKUP(C143-COUNTA(H$124:H143),DD!$E$24:$F$49,2))</f>
        <v/>
      </c>
      <c r="E143" s="69">
        <f>IF(LARGE($R$2:$R$25,20)&lt;1,0,LARGE($R$2:$R$25,20))</f>
        <v>0</v>
      </c>
      <c r="F143" s="70">
        <f t="shared" si="4"/>
        <v>0</v>
      </c>
      <c r="G143" s="68">
        <f t="shared" si="5"/>
        <v>0</v>
      </c>
      <c r="H143" s="71"/>
      <c r="I143" s="72" t="str">
        <f t="shared" si="6"/>
        <v/>
      </c>
      <c r="R143" s="45">
        <f t="shared" si="7"/>
        <v>0</v>
      </c>
      <c r="S143" s="45">
        <f t="shared" si="8"/>
        <v>0</v>
      </c>
      <c r="T143" s="73" t="str">
        <f t="shared" si="9"/>
        <v>0</v>
      </c>
    </row>
    <row r="144" spans="3:20" x14ac:dyDescent="0.25">
      <c r="C144" s="67">
        <f>IF(E144&lt;1,0,IF(INT(E144*100)=INT(E143*100),C143,21))</f>
        <v>0</v>
      </c>
      <c r="D144" s="68" t="str">
        <f>IF(OR(C144&lt;1,H144&lt;&gt;"",COUNTIF(T$124:T144,T144)&gt;3),"",VLOOKUP(C144-COUNTA(H$124:H144),DD!$E$24:$F$49,2))</f>
        <v/>
      </c>
      <c r="E144" s="69">
        <f>IF(LARGE($R$2:$R$25,21)&lt;1,0,LARGE($R$2:$R$25,21))</f>
        <v>0</v>
      </c>
      <c r="F144" s="70">
        <f t="shared" si="4"/>
        <v>0</v>
      </c>
      <c r="G144" s="68">
        <f t="shared" si="5"/>
        <v>0</v>
      </c>
      <c r="H144" s="71"/>
      <c r="I144" s="72" t="str">
        <f t="shared" si="6"/>
        <v/>
      </c>
      <c r="R144" s="45">
        <f t="shared" si="7"/>
        <v>0</v>
      </c>
      <c r="S144" s="45">
        <f t="shared" si="8"/>
        <v>0</v>
      </c>
      <c r="T144" s="73" t="str">
        <f t="shared" si="9"/>
        <v>0</v>
      </c>
    </row>
    <row r="145" spans="3:20" x14ac:dyDescent="0.25">
      <c r="C145" s="67">
        <f>IF(E145&lt;1,0,IF(INT(E145*100)=INT(E144*100),C144,22))</f>
        <v>0</v>
      </c>
      <c r="D145" s="68" t="str">
        <f>IF(OR(C145&lt;1,H145&lt;&gt;"",COUNTIF(T$124:T145,T145)&gt;3),"",VLOOKUP(C145-COUNTA(H$124:H145),DD!$E$24:$F$49,2))</f>
        <v/>
      </c>
      <c r="E145" s="69">
        <f>IF(LARGE($R$2:$R$25,22)&lt;1,0,LARGE($R$2:$R$25,22))</f>
        <v>0</v>
      </c>
      <c r="F145" s="70">
        <f t="shared" si="4"/>
        <v>0</v>
      </c>
      <c r="G145" s="68">
        <f t="shared" si="5"/>
        <v>0</v>
      </c>
      <c r="H145" s="71"/>
      <c r="I145" s="72" t="str">
        <f t="shared" si="6"/>
        <v/>
      </c>
      <c r="R145" s="45">
        <f t="shared" si="7"/>
        <v>0</v>
      </c>
      <c r="S145" s="45">
        <f t="shared" si="8"/>
        <v>0</v>
      </c>
      <c r="T145" s="73" t="str">
        <f t="shared" si="9"/>
        <v>0</v>
      </c>
    </row>
    <row r="146" spans="3:20" x14ac:dyDescent="0.25">
      <c r="C146" s="67">
        <f>IF(E146&lt;1,0,IF(INT(E146*100)=INT(E145*100),C145,23))</f>
        <v>0</v>
      </c>
      <c r="D146" s="68" t="str">
        <f>IF(OR(C146&lt;1,H146&lt;&gt;"",COUNTIF(T$124:T146,T146)&gt;3),"",VLOOKUP(C146-COUNTA(H$124:H146),DD!$E$24:$F$49,2))</f>
        <v/>
      </c>
      <c r="E146" s="69">
        <f>IF(LARGE($R$2:$R$25,23)&lt;1,0,LARGE($R$2:$R$25,23))</f>
        <v>0</v>
      </c>
      <c r="F146" s="70">
        <f t="shared" si="4"/>
        <v>0</v>
      </c>
      <c r="G146" s="68">
        <f t="shared" si="5"/>
        <v>0</v>
      </c>
      <c r="H146" s="71"/>
      <c r="I146" s="72" t="str">
        <f t="shared" si="6"/>
        <v/>
      </c>
      <c r="R146" s="45">
        <f t="shared" si="7"/>
        <v>0</v>
      </c>
      <c r="S146" s="45">
        <f t="shared" si="8"/>
        <v>0</v>
      </c>
      <c r="T146" s="73" t="str">
        <f t="shared" si="9"/>
        <v>0</v>
      </c>
    </row>
    <row r="147" spans="3:20" x14ac:dyDescent="0.25">
      <c r="C147" s="67">
        <f>IF(E147&lt;1,0,IF(INT(E147*100)=INT(E146*100),C146,24))</f>
        <v>0</v>
      </c>
      <c r="D147" s="68" t="str">
        <f>IF(OR(C147&lt;1,H147&lt;&gt;"",COUNTIF(T$124:T147,T147)&gt;3),"",VLOOKUP(C147-COUNTA(H$124:H147),DD!$E$24:$F$49,2))</f>
        <v/>
      </c>
      <c r="E147" s="69">
        <f>IF(LARGE($R$2:$R$25,24)&lt;1,0,LARGE($R$2:$R$25,24))</f>
        <v>0</v>
      </c>
      <c r="F147" s="70">
        <f t="shared" si="4"/>
        <v>0</v>
      </c>
      <c r="G147" s="68">
        <f t="shared" si="5"/>
        <v>0</v>
      </c>
      <c r="H147" s="71"/>
      <c r="I147" s="72" t="str">
        <f>IF(AND(C147=C146,C147&lt;&gt;0),"TIE","")</f>
        <v/>
      </c>
      <c r="R147" s="45">
        <f t="shared" si="7"/>
        <v>0</v>
      </c>
      <c r="S147" s="45">
        <f t="shared" si="8"/>
        <v>0</v>
      </c>
      <c r="T147" s="73" t="str">
        <f t="shared" si="9"/>
        <v>0</v>
      </c>
    </row>
    <row r="148" spans="3:20" x14ac:dyDescent="0.25">
      <c r="C148" s="74"/>
      <c r="D148" s="75"/>
      <c r="E148" s="76"/>
      <c r="F148" s="77"/>
      <c r="G148" s="75"/>
      <c r="H148" s="78"/>
      <c r="I148" s="79"/>
    </row>
  </sheetData>
  <sheetProtection sheet="1" objects="1" scenarios="1"/>
  <mergeCells count="72">
    <mergeCell ref="A2:A6"/>
    <mergeCell ref="B2:B6"/>
    <mergeCell ref="C2:C6"/>
    <mergeCell ref="A7:A11"/>
    <mergeCell ref="B7:B11"/>
    <mergeCell ref="C7:C11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C57:C61"/>
    <mergeCell ref="A62:A66"/>
    <mergeCell ref="B62:B66"/>
    <mergeCell ref="C62:C66"/>
    <mergeCell ref="A67:A71"/>
    <mergeCell ref="B67:B71"/>
    <mergeCell ref="C67:C71"/>
    <mergeCell ref="A72:A76"/>
    <mergeCell ref="B72:B76"/>
    <mergeCell ref="C72:C76"/>
    <mergeCell ref="A77:A81"/>
    <mergeCell ref="B77:B81"/>
    <mergeCell ref="C77:C81"/>
    <mergeCell ref="A82:A86"/>
    <mergeCell ref="B82:B86"/>
    <mergeCell ref="C82:C86"/>
    <mergeCell ref="A87:A91"/>
    <mergeCell ref="B87:B91"/>
    <mergeCell ref="C87:C91"/>
    <mergeCell ref="A92:A96"/>
    <mergeCell ref="B92:B96"/>
    <mergeCell ref="C92:C96"/>
    <mergeCell ref="A97:A101"/>
    <mergeCell ref="B97:B101"/>
    <mergeCell ref="C97:C101"/>
    <mergeCell ref="A102:A106"/>
    <mergeCell ref="B102:B106"/>
    <mergeCell ref="C102:C106"/>
    <mergeCell ref="A107:A111"/>
    <mergeCell ref="B107:B111"/>
    <mergeCell ref="C107:C111"/>
    <mergeCell ref="A112:A116"/>
    <mergeCell ref="B112:B116"/>
    <mergeCell ref="C112:C116"/>
    <mergeCell ref="A117:A121"/>
    <mergeCell ref="B117:B121"/>
    <mergeCell ref="C117:C121"/>
  </mergeCells>
  <conditionalFormatting sqref="E6">
    <cfRule type="expression" dxfId="675" priority="2">
      <formula>IF(E6="",0,IF(OR(LEFT(E6,LEN(E6)-1)=LEFT(E5,LEN(E5)-1),LEFT(E6,LEN(E6)-1)=LEFT(E4,LEN(E4)-1),LEFT(E6,LEN(E6)-1)=LEFT(E3,LEN(E3)-1),LEFT(E6,LEN(E6)-1)=LEFT(E2,LEN(E2)-1),LEFT(E6,1)=LEFT(E5,1)),1,0))</formula>
    </cfRule>
  </conditionalFormatting>
  <conditionalFormatting sqref="G3">
    <cfRule type="expression" dxfId="674" priority="3">
      <formula>IF(SUM(G2:G4)&gt;5.4,1,0)</formula>
    </cfRule>
  </conditionalFormatting>
  <conditionalFormatting sqref="G4">
    <cfRule type="expression" dxfId="673" priority="4">
      <formula>IF(SUM(G2:G4)&gt;5.4,1,0)</formula>
    </cfRule>
  </conditionalFormatting>
  <conditionalFormatting sqref="G2">
    <cfRule type="expression" dxfId="672" priority="5">
      <formula>IF(SUM(G2:G4)&gt;5.4,1,0)</formula>
    </cfRule>
  </conditionalFormatting>
  <conditionalFormatting sqref="E3">
    <cfRule type="expression" dxfId="671" priority="6">
      <formula>IF(E3="",0,IF(LEFT(E3,1)=LEFT(E2,1),1,0))</formula>
    </cfRule>
  </conditionalFormatting>
  <conditionalFormatting sqref="E4">
    <cfRule type="expression" dxfId="670" priority="7">
      <formula>IF(E4="",0,IF(OR(LEFT(E4,1)=LEFT(E3,1),LEFT(E4,1)=LEFT(E2,1)),1,0))</formula>
    </cfRule>
  </conditionalFormatting>
  <conditionalFormatting sqref="E5">
    <cfRule type="expression" dxfId="669" priority="8">
      <formula>IF(E5="",0,IF(OR(LEFT(E5,LEN(E5)-1)=LEFT(E4,LEN(E4)-1),LEFT(E5,LEN(E5)-1)=LEFT(E3,LEN(E3)-1),LEFT(E5,LEN(E5)-1)=LEFT(E2,LEN(E2)-1)),1,0))</formula>
    </cfRule>
  </conditionalFormatting>
  <conditionalFormatting sqref="G8">
    <cfRule type="expression" dxfId="668" priority="9">
      <formula>IF(SUM(G7:G9)&gt;5.4,1,0)</formula>
    </cfRule>
  </conditionalFormatting>
  <conditionalFormatting sqref="G9">
    <cfRule type="expression" dxfId="667" priority="10">
      <formula>IF(SUM(G7:G9)&gt;5.4,1,0)</formula>
    </cfRule>
  </conditionalFormatting>
  <conditionalFormatting sqref="G7">
    <cfRule type="expression" dxfId="666" priority="11">
      <formula>IF(SUM(G7:G9)&gt;5.4,1,0)</formula>
    </cfRule>
  </conditionalFormatting>
  <conditionalFormatting sqref="G13">
    <cfRule type="expression" dxfId="665" priority="12">
      <formula>IF(SUM(G12:G14)&gt;5.4,1,0)</formula>
    </cfRule>
  </conditionalFormatting>
  <conditionalFormatting sqref="G14">
    <cfRule type="expression" dxfId="664" priority="13">
      <formula>IF(SUM(G12:G14)&gt;5.4,1,0)</formula>
    </cfRule>
  </conditionalFormatting>
  <conditionalFormatting sqref="G12">
    <cfRule type="expression" dxfId="663" priority="14">
      <formula>IF(SUM(G12:G14)&gt;5.4,1,0)</formula>
    </cfRule>
  </conditionalFormatting>
  <conditionalFormatting sqref="G18">
    <cfRule type="expression" dxfId="662" priority="15">
      <formula>IF(SUM(G17:G19)&gt;5.4,1,0)</formula>
    </cfRule>
  </conditionalFormatting>
  <conditionalFormatting sqref="G19">
    <cfRule type="expression" dxfId="661" priority="16">
      <formula>IF(SUM(G17:G19)&gt;5.4,1,0)</formula>
    </cfRule>
  </conditionalFormatting>
  <conditionalFormatting sqref="G17">
    <cfRule type="expression" dxfId="660" priority="17">
      <formula>IF(SUM(G17:G19)&gt;5.4,1,0)</formula>
    </cfRule>
  </conditionalFormatting>
  <conditionalFormatting sqref="G23">
    <cfRule type="expression" dxfId="659" priority="18">
      <formula>IF(SUM(G22:G24)&gt;5.4,1,0)</formula>
    </cfRule>
  </conditionalFormatting>
  <conditionalFormatting sqref="G24">
    <cfRule type="expression" dxfId="658" priority="19">
      <formula>IF(SUM(G22:G24)&gt;5.4,1,0)</formula>
    </cfRule>
  </conditionalFormatting>
  <conditionalFormatting sqref="G22">
    <cfRule type="expression" dxfId="657" priority="20">
      <formula>IF(SUM(G22:G24)&gt;5.4,1,0)</formula>
    </cfRule>
  </conditionalFormatting>
  <conditionalFormatting sqref="G28">
    <cfRule type="expression" dxfId="656" priority="21">
      <formula>IF(SUM(G27:G29)&gt;5.4,1,0)</formula>
    </cfRule>
  </conditionalFormatting>
  <conditionalFormatting sqref="G29">
    <cfRule type="expression" dxfId="655" priority="22">
      <formula>IF(SUM(G27:G29)&gt;5.4,1,0)</formula>
    </cfRule>
  </conditionalFormatting>
  <conditionalFormatting sqref="G27">
    <cfRule type="expression" dxfId="654" priority="23">
      <formula>IF(SUM(G27:G29)&gt;5.4,1,0)</formula>
    </cfRule>
  </conditionalFormatting>
  <conditionalFormatting sqref="G33">
    <cfRule type="expression" dxfId="653" priority="24">
      <formula>IF(SUM(G32:G34)&gt;5.4,1,0)</formula>
    </cfRule>
  </conditionalFormatting>
  <conditionalFormatting sqref="G34">
    <cfRule type="expression" dxfId="652" priority="25">
      <formula>IF(SUM(G32:G34)&gt;5.4,1,0)</formula>
    </cfRule>
  </conditionalFormatting>
  <conditionalFormatting sqref="G32">
    <cfRule type="expression" dxfId="651" priority="26">
      <formula>IF(SUM(G32:G34)&gt;5.4,1,0)</formula>
    </cfRule>
  </conditionalFormatting>
  <conditionalFormatting sqref="G38">
    <cfRule type="expression" dxfId="650" priority="27">
      <formula>IF(SUM(G37:G39)&gt;5.4,1,0)</formula>
    </cfRule>
  </conditionalFormatting>
  <conditionalFormatting sqref="G39">
    <cfRule type="expression" dxfId="649" priority="28">
      <formula>IF(SUM(G37:G39)&gt;5.4,1,0)</formula>
    </cfRule>
  </conditionalFormatting>
  <conditionalFormatting sqref="G37">
    <cfRule type="expression" dxfId="648" priority="29">
      <formula>IF(SUM(G37:G39)&gt;5.4,1,0)</formula>
    </cfRule>
  </conditionalFormatting>
  <conditionalFormatting sqref="G43">
    <cfRule type="expression" dxfId="647" priority="30">
      <formula>IF(SUM(G42:G44)&gt;5.4,1,0)</formula>
    </cfRule>
  </conditionalFormatting>
  <conditionalFormatting sqref="G44">
    <cfRule type="expression" dxfId="646" priority="31">
      <formula>IF(SUM(G42:G44)&gt;5.4,1,0)</formula>
    </cfRule>
  </conditionalFormatting>
  <conditionalFormatting sqref="G42">
    <cfRule type="expression" dxfId="645" priority="32">
      <formula>IF(SUM(G42:G44)&gt;5.4,1,0)</formula>
    </cfRule>
  </conditionalFormatting>
  <conditionalFormatting sqref="G48">
    <cfRule type="expression" dxfId="644" priority="33">
      <formula>IF(SUM(G47:G49)&gt;5.4,1,0)</formula>
    </cfRule>
  </conditionalFormatting>
  <conditionalFormatting sqref="G49">
    <cfRule type="expression" dxfId="643" priority="34">
      <formula>IF(SUM(G47:G49)&gt;5.4,1,0)</formula>
    </cfRule>
  </conditionalFormatting>
  <conditionalFormatting sqref="G47">
    <cfRule type="expression" dxfId="642" priority="35">
      <formula>IF(SUM(G47:G49)&gt;5.4,1,0)</formula>
    </cfRule>
  </conditionalFormatting>
  <conditionalFormatting sqref="G53">
    <cfRule type="expression" dxfId="641" priority="36">
      <formula>IF(SUM(G52:G54)&gt;5.4,1,0)</formula>
    </cfRule>
  </conditionalFormatting>
  <conditionalFormatting sqref="G54">
    <cfRule type="expression" dxfId="640" priority="37">
      <formula>IF(SUM(G52:G54)&gt;5.4,1,0)</formula>
    </cfRule>
  </conditionalFormatting>
  <conditionalFormatting sqref="G52">
    <cfRule type="expression" dxfId="639" priority="38">
      <formula>IF(SUM(G52:G54)&gt;5.4,1,0)</formula>
    </cfRule>
  </conditionalFormatting>
  <conditionalFormatting sqref="G58">
    <cfRule type="expression" dxfId="638" priority="39">
      <formula>IF(SUM(G57:G59)&gt;5.4,1,0)</formula>
    </cfRule>
  </conditionalFormatting>
  <conditionalFormatting sqref="G59">
    <cfRule type="expression" dxfId="637" priority="40">
      <formula>IF(SUM(G57:G59)&gt;5.4,1,0)</formula>
    </cfRule>
  </conditionalFormatting>
  <conditionalFormatting sqref="G57">
    <cfRule type="expression" dxfId="636" priority="41">
      <formula>IF(SUM(G57:G59)&gt;5.4,1,0)</formula>
    </cfRule>
  </conditionalFormatting>
  <conditionalFormatting sqref="G63">
    <cfRule type="expression" dxfId="635" priority="42">
      <formula>IF(SUM(G62:G64)&gt;5.4,1,0)</formula>
    </cfRule>
  </conditionalFormatting>
  <conditionalFormatting sqref="G64">
    <cfRule type="expression" dxfId="634" priority="43">
      <formula>IF(SUM(G62:G64)&gt;5.4,1,0)</formula>
    </cfRule>
  </conditionalFormatting>
  <conditionalFormatting sqref="G62">
    <cfRule type="expression" dxfId="633" priority="44">
      <formula>IF(SUM(G62:G64)&gt;5.4,1,0)</formula>
    </cfRule>
  </conditionalFormatting>
  <conditionalFormatting sqref="G68">
    <cfRule type="expression" dxfId="632" priority="45">
      <formula>IF(SUM(G67:G69)&gt;5.4,1,0)</formula>
    </cfRule>
  </conditionalFormatting>
  <conditionalFormatting sqref="G69">
    <cfRule type="expression" dxfId="631" priority="46">
      <formula>IF(SUM(G67:G69)&gt;5.4,1,0)</formula>
    </cfRule>
  </conditionalFormatting>
  <conditionalFormatting sqref="G67">
    <cfRule type="expression" dxfId="630" priority="47">
      <formula>IF(SUM(G67:G69)&gt;5.4,1,0)</formula>
    </cfRule>
  </conditionalFormatting>
  <conditionalFormatting sqref="G73">
    <cfRule type="expression" dxfId="629" priority="48">
      <formula>IF(SUM(G72:G74)&gt;5.4,1,0)</formula>
    </cfRule>
  </conditionalFormatting>
  <conditionalFormatting sqref="G74">
    <cfRule type="expression" dxfId="628" priority="49">
      <formula>IF(SUM(G72:G74)&gt;5.4,1,0)</formula>
    </cfRule>
  </conditionalFormatting>
  <conditionalFormatting sqref="G72">
    <cfRule type="expression" dxfId="627" priority="50">
      <formula>IF(SUM(G72:G74)&gt;5.4,1,0)</formula>
    </cfRule>
  </conditionalFormatting>
  <conditionalFormatting sqref="G78">
    <cfRule type="expression" dxfId="626" priority="51">
      <formula>IF(SUM(G77:G79)&gt;5.4,1,0)</formula>
    </cfRule>
  </conditionalFormatting>
  <conditionalFormatting sqref="G79">
    <cfRule type="expression" dxfId="625" priority="52">
      <formula>IF(SUM(G77:G79)&gt;5.4,1,0)</formula>
    </cfRule>
  </conditionalFormatting>
  <conditionalFormatting sqref="G77">
    <cfRule type="expression" dxfId="624" priority="53">
      <formula>IF(SUM(G77:G79)&gt;5.4,1,0)</formula>
    </cfRule>
  </conditionalFormatting>
  <conditionalFormatting sqref="G83">
    <cfRule type="expression" dxfId="623" priority="54">
      <formula>IF(SUM(G82:G84)&gt;5.4,1,0)</formula>
    </cfRule>
  </conditionalFormatting>
  <conditionalFormatting sqref="G84">
    <cfRule type="expression" dxfId="622" priority="55">
      <formula>IF(SUM(G82:G84)&gt;5.4,1,0)</formula>
    </cfRule>
  </conditionalFormatting>
  <conditionalFormatting sqref="G82">
    <cfRule type="expression" dxfId="621" priority="56">
      <formula>IF(SUM(G82:G84)&gt;5.4,1,0)</formula>
    </cfRule>
  </conditionalFormatting>
  <conditionalFormatting sqref="G88">
    <cfRule type="expression" dxfId="620" priority="57">
      <formula>IF(SUM(G87:G89)&gt;5.4,1,0)</formula>
    </cfRule>
  </conditionalFormatting>
  <conditionalFormatting sqref="G89">
    <cfRule type="expression" dxfId="619" priority="58">
      <formula>IF(SUM(G87:G89)&gt;5.4,1,0)</formula>
    </cfRule>
  </conditionalFormatting>
  <conditionalFormatting sqref="G87">
    <cfRule type="expression" dxfId="618" priority="59">
      <formula>IF(SUM(G87:G89)&gt;5.4,1,0)</formula>
    </cfRule>
  </conditionalFormatting>
  <conditionalFormatting sqref="G93">
    <cfRule type="expression" dxfId="617" priority="60">
      <formula>IF(SUM(G92:G94)&gt;5.4,1,0)</formula>
    </cfRule>
  </conditionalFormatting>
  <conditionalFormatting sqref="G94">
    <cfRule type="expression" dxfId="616" priority="61">
      <formula>IF(SUM(G92:G94)&gt;5.4,1,0)</formula>
    </cfRule>
  </conditionalFormatting>
  <conditionalFormatting sqref="G92">
    <cfRule type="expression" dxfId="615" priority="62">
      <formula>IF(SUM(G92:G94)&gt;5.4,1,0)</formula>
    </cfRule>
  </conditionalFormatting>
  <conditionalFormatting sqref="G98">
    <cfRule type="expression" dxfId="614" priority="63">
      <formula>IF(SUM(G97:G99)&gt;5.4,1,0)</formula>
    </cfRule>
  </conditionalFormatting>
  <conditionalFormatting sqref="G99">
    <cfRule type="expression" dxfId="613" priority="64">
      <formula>IF(SUM(G97:G99)&gt;5.4,1,0)</formula>
    </cfRule>
  </conditionalFormatting>
  <conditionalFormatting sqref="G97">
    <cfRule type="expression" dxfId="612" priority="65">
      <formula>IF(SUM(G97:G99)&gt;5.4,1,0)</formula>
    </cfRule>
  </conditionalFormatting>
  <conditionalFormatting sqref="G103">
    <cfRule type="expression" dxfId="611" priority="66">
      <formula>IF(SUM(G102:G104)&gt;5.4,1,0)</formula>
    </cfRule>
  </conditionalFormatting>
  <conditionalFormatting sqref="G104">
    <cfRule type="expression" dxfId="610" priority="67">
      <formula>IF(SUM(G102:G104)&gt;5.4,1,0)</formula>
    </cfRule>
  </conditionalFormatting>
  <conditionalFormatting sqref="G102">
    <cfRule type="expression" dxfId="609" priority="68">
      <formula>IF(SUM(G102:G104)&gt;5.4,1,0)</formula>
    </cfRule>
  </conditionalFormatting>
  <conditionalFormatting sqref="G108">
    <cfRule type="expression" dxfId="608" priority="69">
      <formula>IF(SUM(G107:G109)&gt;5.4,1,0)</formula>
    </cfRule>
  </conditionalFormatting>
  <conditionalFormatting sqref="G109">
    <cfRule type="expression" dxfId="607" priority="70">
      <formula>IF(SUM(G107:G109)&gt;5.4,1,0)</formula>
    </cfRule>
  </conditionalFormatting>
  <conditionalFormatting sqref="E11">
    <cfRule type="expression" dxfId="606" priority="71">
      <formula>IF(E11="",0,IF(OR(LEFT(E11,LEN(E11)-1)=LEFT(E10,LEN(E10)-1),LEFT(E11,LEN(E11)-1)=LEFT(E9,LEN(E9)-1),LEFT(E11,LEN(E11)-1)=LEFT(E8,LEN(E8)-1),LEFT(E11,LEN(E11)-1)=LEFT(E7,LEN(E7)-1),LEFT(E11,1)=LEFT(E10,1)),1,0))</formula>
    </cfRule>
  </conditionalFormatting>
  <conditionalFormatting sqref="E8">
    <cfRule type="expression" dxfId="605" priority="72">
      <formula>IF(E8="",0,IF(LEFT(E8,1)=LEFT(E7,1),1,0))</formula>
    </cfRule>
  </conditionalFormatting>
  <conditionalFormatting sqref="E9">
    <cfRule type="expression" dxfId="604" priority="73">
      <formula>IF(E9="",0,IF(OR(LEFT(E9,1)=LEFT(E8,1),LEFT(E9,1)=LEFT(E7,1)),1,0))</formula>
    </cfRule>
  </conditionalFormatting>
  <conditionalFormatting sqref="E10">
    <cfRule type="expression" dxfId="603" priority="74">
      <formula>IF(E10="",0,IF(OR(LEFT(E10,LEN(E10)-1)=LEFT(E9,LEN(E9)-1),LEFT(E10,LEN(E10)-1)=LEFT(E8,LEN(E8)-1),LEFT(E10,LEN(E10)-1)=LEFT(E7,LEN(E7)-1)),1,0))</formula>
    </cfRule>
  </conditionalFormatting>
  <conditionalFormatting sqref="E16">
    <cfRule type="expression" dxfId="602" priority="75">
      <formula>IF(E16="",0,IF(OR(LEFT(E16,LEN(E16)-1)=LEFT(E15,LEN(E15)-1),LEFT(E16,LEN(E16)-1)=LEFT(E14,LEN(E14)-1),LEFT(E16,LEN(E16)-1)=LEFT(E13,LEN(E13)-1),LEFT(E16,LEN(E16)-1)=LEFT(E12,LEN(E12)-1),LEFT(E16,1)=LEFT(E15,1)),1,0))</formula>
    </cfRule>
  </conditionalFormatting>
  <conditionalFormatting sqref="E13">
    <cfRule type="expression" dxfId="601" priority="76">
      <formula>IF(E13="",0,IF(LEFT(E13,1)=LEFT(E12,1),1,0))</formula>
    </cfRule>
  </conditionalFormatting>
  <conditionalFormatting sqref="E14">
    <cfRule type="expression" dxfId="600" priority="77">
      <formula>IF(E14="",0,IF(OR(LEFT(E14,1)=LEFT(E13,1),LEFT(E14,1)=LEFT(E12,1)),1,0))</formula>
    </cfRule>
  </conditionalFormatting>
  <conditionalFormatting sqref="E15">
    <cfRule type="expression" dxfId="599" priority="78">
      <formula>IF(E15="",0,IF(OR(LEFT(E15,LEN(E15)-1)=LEFT(E14,LEN(E14)-1),LEFT(E15,LEN(E15)-1)=LEFT(E13,LEN(E13)-1),LEFT(E15,LEN(E15)-1)=LEFT(E12,LEN(E12)-1)),1,0))</formula>
    </cfRule>
  </conditionalFormatting>
  <conditionalFormatting sqref="E21">
    <cfRule type="expression" dxfId="598" priority="79">
      <formula>IF(E21="",0,IF(OR(LEFT(E21,LEN(E21)-1)=LEFT(E20,LEN(E20)-1),LEFT(E21,LEN(E21)-1)=LEFT(E19,LEN(E19)-1),LEFT(E21,LEN(E21)-1)=LEFT(E18,LEN(E18)-1),LEFT(E21,LEN(E21)-1)=LEFT(E17,LEN(E17)-1),LEFT(E21,1)=LEFT(E20,1)),1,0))</formula>
    </cfRule>
  </conditionalFormatting>
  <conditionalFormatting sqref="E18">
    <cfRule type="expression" dxfId="597" priority="80">
      <formula>IF(E18="",0,IF(LEFT(E18,1)=LEFT(E17,1),1,0))</formula>
    </cfRule>
  </conditionalFormatting>
  <conditionalFormatting sqref="E19">
    <cfRule type="expression" dxfId="596" priority="81">
      <formula>IF(E19="",0,IF(OR(LEFT(E19,1)=LEFT(E18,1),LEFT(E19,1)=LEFT(E17,1)),1,0))</formula>
    </cfRule>
  </conditionalFormatting>
  <conditionalFormatting sqref="E20">
    <cfRule type="expression" dxfId="595" priority="82">
      <formula>IF(E20="",0,IF(OR(LEFT(E20,LEN(E20)-1)=LEFT(E19,LEN(E19)-1),LEFT(E20,LEN(E20)-1)=LEFT(E18,LEN(E18)-1),LEFT(E20,LEN(E20)-1)=LEFT(E17,LEN(E17)-1)),1,0))</formula>
    </cfRule>
  </conditionalFormatting>
  <conditionalFormatting sqref="E26">
    <cfRule type="expression" dxfId="594" priority="83">
      <formula>IF(E26="",0,IF(OR(LEFT(E26,LEN(E26)-1)=LEFT(E25,LEN(E25)-1),LEFT(E26,LEN(E26)-1)=LEFT(E24,LEN(E24)-1),LEFT(E26,LEN(E26)-1)=LEFT(E23,LEN(E23)-1),LEFT(E26,LEN(E26)-1)=LEFT(E22,LEN(E22)-1),LEFT(E26,1)=LEFT(E25,1)),1,0))</formula>
    </cfRule>
  </conditionalFormatting>
  <conditionalFormatting sqref="E23">
    <cfRule type="expression" dxfId="593" priority="84">
      <formula>IF(E23="",0,IF(LEFT(E23,1)=LEFT(E22,1),1,0))</formula>
    </cfRule>
  </conditionalFormatting>
  <conditionalFormatting sqref="E24">
    <cfRule type="expression" dxfId="592" priority="85">
      <formula>IF(E24="",0,IF(OR(LEFT(E24,1)=LEFT(E23,1),LEFT(E24,1)=LEFT(E22,1)),1,0))</formula>
    </cfRule>
  </conditionalFormatting>
  <conditionalFormatting sqref="E25">
    <cfRule type="expression" dxfId="591" priority="86">
      <formula>IF(E25="",0,IF(OR(LEFT(E25,LEN(E25)-1)=LEFT(E24,LEN(E24)-1),LEFT(E25,LEN(E25)-1)=LEFT(E23,LEN(E23)-1),LEFT(E25,LEN(E25)-1)=LEFT(E22,LEN(E22)-1)),1,0))</formula>
    </cfRule>
  </conditionalFormatting>
  <conditionalFormatting sqref="E31">
    <cfRule type="expression" dxfId="590" priority="87">
      <formula>IF(E31="",0,IF(OR(LEFT(E31,LEN(E31)-1)=LEFT(E30,LEN(E30)-1),LEFT(E31,LEN(E31)-1)=LEFT(E29,LEN(E29)-1),LEFT(E31,LEN(E31)-1)=LEFT(E28,LEN(E28)-1),LEFT(E31,LEN(E31)-1)=LEFT(E27,LEN(E27)-1),LEFT(E31,1)=LEFT(E30,1)),1,0))</formula>
    </cfRule>
  </conditionalFormatting>
  <conditionalFormatting sqref="E28">
    <cfRule type="expression" dxfId="589" priority="88">
      <formula>IF(E28="",0,IF(LEFT(E28,1)=LEFT(E27,1),1,0))</formula>
    </cfRule>
  </conditionalFormatting>
  <conditionalFormatting sqref="E29">
    <cfRule type="expression" dxfId="588" priority="89">
      <formula>IF(E29="",0,IF(OR(LEFT(E29,1)=LEFT(E28,1),LEFT(E29,1)=LEFT(E27,1)),1,0))</formula>
    </cfRule>
  </conditionalFormatting>
  <conditionalFormatting sqref="E30">
    <cfRule type="expression" dxfId="587" priority="90">
      <formula>IF(E30="",0,IF(OR(LEFT(E30,LEN(E30)-1)=LEFT(E29,LEN(E29)-1),LEFT(E30,LEN(E30)-1)=LEFT(E28,LEN(E28)-1),LEFT(E30,LEN(E30)-1)=LEFT(E27,LEN(E27)-1)),1,0))</formula>
    </cfRule>
  </conditionalFormatting>
  <conditionalFormatting sqref="E36">
    <cfRule type="expression" dxfId="586" priority="91">
      <formula>IF(E36="",0,IF(OR(LEFT(E36,LEN(E36)-1)=LEFT(E35,LEN(E35)-1),LEFT(E36,LEN(E36)-1)=LEFT(E34,LEN(E34)-1),LEFT(E36,LEN(E36)-1)=LEFT(E33,LEN(E33)-1),LEFT(E36,LEN(E36)-1)=LEFT(E32,LEN(E32)-1),LEFT(E36,1)=LEFT(E35,1)),1,0))</formula>
    </cfRule>
  </conditionalFormatting>
  <conditionalFormatting sqref="E33">
    <cfRule type="expression" dxfId="585" priority="92">
      <formula>IF(E33="",0,IF(LEFT(E33,1)=LEFT(E32,1),1,0))</formula>
    </cfRule>
  </conditionalFormatting>
  <conditionalFormatting sqref="E34">
    <cfRule type="expression" dxfId="584" priority="93">
      <formula>IF(E34="",0,IF(OR(LEFT(E34,1)=LEFT(E33,1),LEFT(E34,1)=LEFT(E32,1)),1,0))</formula>
    </cfRule>
  </conditionalFormatting>
  <conditionalFormatting sqref="E35">
    <cfRule type="expression" dxfId="583" priority="94">
      <formula>IF(E35="",0,IF(OR(LEFT(E35,LEN(E35)-1)=LEFT(E34,LEN(E34)-1),LEFT(E35,LEN(E35)-1)=LEFT(E33,LEN(E33)-1),LEFT(E35,LEN(E35)-1)=LEFT(E32,LEN(E32)-1)),1,0))</formula>
    </cfRule>
  </conditionalFormatting>
  <conditionalFormatting sqref="E41">
    <cfRule type="expression" dxfId="582" priority="95">
      <formula>IF(E41="",0,IF(OR(LEFT(E41,LEN(E41)-1)=LEFT(E40,LEN(E40)-1),LEFT(E41,LEN(E41)-1)=LEFT(E39,LEN(E39)-1),LEFT(E41,LEN(E41)-1)=LEFT(E38,LEN(E38)-1),LEFT(E41,LEN(E41)-1)=LEFT(E37,LEN(E37)-1),LEFT(E41,1)=LEFT(E40,1)),1,0))</formula>
    </cfRule>
  </conditionalFormatting>
  <conditionalFormatting sqref="E38">
    <cfRule type="expression" dxfId="581" priority="96">
      <formula>IF(E38="",0,IF(LEFT(E38,1)=LEFT(E37,1),1,0))</formula>
    </cfRule>
  </conditionalFormatting>
  <conditionalFormatting sqref="E39">
    <cfRule type="expression" dxfId="580" priority="97">
      <formula>IF(E39="",0,IF(OR(LEFT(E39,1)=LEFT(E38,1),LEFT(E39,1)=LEFT(E37,1)),1,0))</formula>
    </cfRule>
  </conditionalFormatting>
  <conditionalFormatting sqref="E40">
    <cfRule type="expression" dxfId="579" priority="98">
      <formula>IF(E40="",0,IF(OR(LEFT(E40,LEN(E40)-1)=LEFT(E39,LEN(E39)-1),LEFT(E40,LEN(E40)-1)=LEFT(E38,LEN(E38)-1),LEFT(E40,LEN(E40)-1)=LEFT(E37,LEN(E37)-1)),1,0))</formula>
    </cfRule>
  </conditionalFormatting>
  <conditionalFormatting sqref="E46">
    <cfRule type="expression" dxfId="578" priority="99">
      <formula>IF(E46="",0,IF(OR(LEFT(E46,LEN(E46)-1)=LEFT(E45,LEN(E45)-1),LEFT(E46,LEN(E46)-1)=LEFT(E44,LEN(E44)-1),LEFT(E46,LEN(E46)-1)=LEFT(E43,LEN(E43)-1),LEFT(E46,LEN(E46)-1)=LEFT(E42,LEN(E42)-1),LEFT(E46,1)=LEFT(E45,1)),1,0))</formula>
    </cfRule>
  </conditionalFormatting>
  <conditionalFormatting sqref="E43">
    <cfRule type="expression" dxfId="577" priority="100">
      <formula>IF(E43="",0,IF(LEFT(E43,1)=LEFT(E42,1),1,0))</formula>
    </cfRule>
  </conditionalFormatting>
  <conditionalFormatting sqref="E44">
    <cfRule type="expression" dxfId="576" priority="101">
      <formula>IF(E44="",0,IF(OR(LEFT(E44,1)=LEFT(E43,1),LEFT(E44,1)=LEFT(E42,1)),1,0))</formula>
    </cfRule>
  </conditionalFormatting>
  <conditionalFormatting sqref="E45">
    <cfRule type="expression" dxfId="575" priority="102">
      <formula>IF(E45="",0,IF(OR(LEFT(E45,LEN(E45)-1)=LEFT(E44,LEN(E44)-1),LEFT(E45,LEN(E45)-1)=LEFT(E43,LEN(E43)-1),LEFT(E45,LEN(E45)-1)=LEFT(E42,LEN(E42)-1)),1,0))</formula>
    </cfRule>
  </conditionalFormatting>
  <conditionalFormatting sqref="E51">
    <cfRule type="expression" dxfId="574" priority="103">
      <formula>IF(E51="",0,IF(OR(LEFT(E51,LEN(E51)-1)=LEFT(E50,LEN(E50)-1),LEFT(E51,LEN(E51)-1)=LEFT(E49,LEN(E49)-1),LEFT(E51,LEN(E51)-1)=LEFT(E48,LEN(E48)-1),LEFT(E51,LEN(E51)-1)=LEFT(E47,LEN(E47)-1),LEFT(E51,1)=LEFT(E50,1)),1,0))</formula>
    </cfRule>
  </conditionalFormatting>
  <conditionalFormatting sqref="E48">
    <cfRule type="expression" dxfId="573" priority="104">
      <formula>IF(E48="",0,IF(LEFT(E48,1)=LEFT(E47,1),1,0))</formula>
    </cfRule>
  </conditionalFormatting>
  <conditionalFormatting sqref="E49">
    <cfRule type="expression" dxfId="572" priority="105">
      <formula>IF(E49="",0,IF(OR(LEFT(E49,1)=LEFT(E48,1),LEFT(E49,1)=LEFT(E47,1)),1,0))</formula>
    </cfRule>
  </conditionalFormatting>
  <conditionalFormatting sqref="E50">
    <cfRule type="expression" dxfId="571" priority="106">
      <formula>IF(E50="",0,IF(OR(LEFT(E50,LEN(E50)-1)=LEFT(E49,LEN(E49)-1),LEFT(E50,LEN(E50)-1)=LEFT(E48,LEN(E48)-1),LEFT(E50,LEN(E50)-1)=LEFT(E47,LEN(E47)-1)),1,0))</formula>
    </cfRule>
  </conditionalFormatting>
  <conditionalFormatting sqref="E56">
    <cfRule type="expression" dxfId="570" priority="107">
      <formula>IF(E56="",0,IF(OR(LEFT(E56,LEN(E56)-1)=LEFT(E55,LEN(E55)-1),LEFT(E56,LEN(E56)-1)=LEFT(E54,LEN(E54)-1),LEFT(E56,LEN(E56)-1)=LEFT(E53,LEN(E53)-1),LEFT(E56,LEN(E56)-1)=LEFT(E52,LEN(E52)-1),LEFT(E56,1)=LEFT(E55,1)),1,0))</formula>
    </cfRule>
  </conditionalFormatting>
  <conditionalFormatting sqref="E53">
    <cfRule type="expression" dxfId="569" priority="108">
      <formula>IF(E53="",0,IF(LEFT(E53,1)=LEFT(E52,1),1,0))</formula>
    </cfRule>
  </conditionalFormatting>
  <conditionalFormatting sqref="E54">
    <cfRule type="expression" dxfId="568" priority="109">
      <formula>IF(E54="",0,IF(OR(LEFT(E54,1)=LEFT(E53,1),LEFT(E54,1)=LEFT(E52,1)),1,0))</formula>
    </cfRule>
  </conditionalFormatting>
  <conditionalFormatting sqref="E55">
    <cfRule type="expression" dxfId="567" priority="110">
      <formula>IF(E55="",0,IF(OR(LEFT(E55,LEN(E55)-1)=LEFT(E54,LEN(E54)-1),LEFT(E55,LEN(E55)-1)=LEFT(E53,LEN(E53)-1),LEFT(E55,LEN(E55)-1)=LEFT(E52,LEN(E52)-1)),1,0))</formula>
    </cfRule>
  </conditionalFormatting>
  <conditionalFormatting sqref="E61">
    <cfRule type="expression" dxfId="566" priority="111">
      <formula>IF(E61="",0,IF(OR(LEFT(E61,LEN(E61)-1)=LEFT(E60,LEN(E60)-1),LEFT(E61,LEN(E61)-1)=LEFT(E59,LEN(E59)-1),LEFT(E61,LEN(E61)-1)=LEFT(E58,LEN(E58)-1),LEFT(E61,LEN(E61)-1)=LEFT(E57,LEN(E57)-1),LEFT(E61,1)=LEFT(E60,1)),1,0))</formula>
    </cfRule>
  </conditionalFormatting>
  <conditionalFormatting sqref="E58">
    <cfRule type="expression" dxfId="565" priority="112">
      <formula>IF(E58="",0,IF(LEFT(E58,1)=LEFT(E57,1),1,0))</formula>
    </cfRule>
  </conditionalFormatting>
  <conditionalFormatting sqref="E59">
    <cfRule type="expression" dxfId="564" priority="113">
      <formula>IF(E59="",0,IF(OR(LEFT(E59,1)=LEFT(E58,1),LEFT(E59,1)=LEFT(E57,1)),1,0))</formula>
    </cfRule>
  </conditionalFormatting>
  <conditionalFormatting sqref="E60">
    <cfRule type="expression" dxfId="563" priority="114">
      <formula>IF(E60="",0,IF(OR(LEFT(E60,LEN(E60)-1)=LEFT(E59,LEN(E59)-1),LEFT(E60,LEN(E60)-1)=LEFT(E58,LEN(E58)-1),LEFT(E60,LEN(E60)-1)=LEFT(E57,LEN(E57)-1)),1,0))</formula>
    </cfRule>
  </conditionalFormatting>
  <conditionalFormatting sqref="E66">
    <cfRule type="expression" dxfId="562" priority="115">
      <formula>IF(E66="",0,IF(OR(LEFT(E66,LEN(E66)-1)=LEFT(E65,LEN(E65)-1),LEFT(E66,LEN(E66)-1)=LEFT(E64,LEN(E64)-1),LEFT(E66,LEN(E66)-1)=LEFT(E63,LEN(E63)-1),LEFT(E66,LEN(E66)-1)=LEFT(E62,LEN(E62)-1),LEFT(E66,1)=LEFT(E65,1)),1,0))</formula>
    </cfRule>
  </conditionalFormatting>
  <conditionalFormatting sqref="E63">
    <cfRule type="expression" dxfId="561" priority="116">
      <formula>IF(E63="",0,IF(LEFT(E63,1)=LEFT(E62,1),1,0))</formula>
    </cfRule>
  </conditionalFormatting>
  <conditionalFormatting sqref="E64">
    <cfRule type="expression" dxfId="560" priority="117">
      <formula>IF(E64="",0,IF(OR(LEFT(E64,1)=LEFT(E63,1),LEFT(E64,1)=LEFT(E62,1)),1,0))</formula>
    </cfRule>
  </conditionalFormatting>
  <conditionalFormatting sqref="E65">
    <cfRule type="expression" dxfId="559" priority="118">
      <formula>IF(E65="",0,IF(OR(LEFT(E65,LEN(E65)-1)=LEFT(E64,LEN(E64)-1),LEFT(E65,LEN(E65)-1)=LEFT(E63,LEN(E63)-1),LEFT(E65,LEN(E65)-1)=LEFT(E62,LEN(E62)-1)),1,0))</formula>
    </cfRule>
  </conditionalFormatting>
  <conditionalFormatting sqref="E71">
    <cfRule type="expression" dxfId="558" priority="119">
      <formula>IF(E71="",0,IF(OR(LEFT(E71,LEN(E71)-1)=LEFT(E70,LEN(E70)-1),LEFT(E71,LEN(E71)-1)=LEFT(E69,LEN(E69)-1),LEFT(E71,LEN(E71)-1)=LEFT(E68,LEN(E68)-1),LEFT(E71,LEN(E71)-1)=LEFT(E67,LEN(E67)-1),LEFT(E71,1)=LEFT(E70,1)),1,0))</formula>
    </cfRule>
  </conditionalFormatting>
  <conditionalFormatting sqref="E68">
    <cfRule type="expression" dxfId="557" priority="120">
      <formula>IF(E68="",0,IF(LEFT(E68,1)=LEFT(E67,1),1,0))</formula>
    </cfRule>
  </conditionalFormatting>
  <conditionalFormatting sqref="E69">
    <cfRule type="expression" dxfId="556" priority="121">
      <formula>IF(E69="",0,IF(OR(LEFT(E69,1)=LEFT(E68,1),LEFT(E69,1)=LEFT(E67,1)),1,0))</formula>
    </cfRule>
  </conditionalFormatting>
  <conditionalFormatting sqref="E70">
    <cfRule type="expression" dxfId="555" priority="122">
      <formula>IF(E70="",0,IF(OR(LEFT(E70,LEN(E70)-1)=LEFT(E69,LEN(E69)-1),LEFT(E70,LEN(E70)-1)=LEFT(E68,LEN(E68)-1),LEFT(E70,LEN(E70)-1)=LEFT(E67,LEN(E67)-1)),1,0))</formula>
    </cfRule>
  </conditionalFormatting>
  <conditionalFormatting sqref="E76">
    <cfRule type="expression" dxfId="554" priority="123">
      <formula>IF(E76="",0,IF(OR(LEFT(E76,LEN(E76)-1)=LEFT(E75,LEN(E75)-1),LEFT(E76,LEN(E76)-1)=LEFT(E74,LEN(E74)-1),LEFT(E76,LEN(E76)-1)=LEFT(E73,LEN(E73)-1),LEFT(E76,LEN(E76)-1)=LEFT(E72,LEN(E72)-1),LEFT(E76,1)=LEFT(E75,1)),1,0))</formula>
    </cfRule>
  </conditionalFormatting>
  <conditionalFormatting sqref="E73">
    <cfRule type="expression" dxfId="553" priority="124">
      <formula>IF(E73="",0,IF(LEFT(E73,1)=LEFT(E72,1),1,0))</formula>
    </cfRule>
  </conditionalFormatting>
  <conditionalFormatting sqref="E74">
    <cfRule type="expression" dxfId="552" priority="125">
      <formula>IF(E74="",0,IF(OR(LEFT(E74,1)=LEFT(E73,1),LEFT(E74,1)=LEFT(E72,1)),1,0))</formula>
    </cfRule>
  </conditionalFormatting>
  <conditionalFormatting sqref="E75">
    <cfRule type="expression" dxfId="551" priority="126">
      <formula>IF(E75="",0,IF(OR(LEFT(E75,LEN(E75)-1)=LEFT(E74,LEN(E74)-1),LEFT(E75,LEN(E75)-1)=LEFT(E73,LEN(E73)-1),LEFT(E75,LEN(E75)-1)=LEFT(E72,LEN(E72)-1)),1,0))</formula>
    </cfRule>
  </conditionalFormatting>
  <conditionalFormatting sqref="E81">
    <cfRule type="expression" dxfId="550" priority="127">
      <formula>IF(E81="",0,IF(OR(LEFT(E81,LEN(E81)-1)=LEFT(E80,LEN(E80)-1),LEFT(E81,LEN(E81)-1)=LEFT(E79,LEN(E79)-1),LEFT(E81,LEN(E81)-1)=LEFT(E78,LEN(E78)-1),LEFT(E81,LEN(E81)-1)=LEFT(E77,LEN(E77)-1),LEFT(E81,1)=LEFT(E80,1)),1,0))</formula>
    </cfRule>
  </conditionalFormatting>
  <conditionalFormatting sqref="E78">
    <cfRule type="expression" dxfId="549" priority="128">
      <formula>IF(E78="",0,IF(LEFT(E78,1)=LEFT(E77,1),1,0))</formula>
    </cfRule>
  </conditionalFormatting>
  <conditionalFormatting sqref="E79">
    <cfRule type="expression" dxfId="548" priority="129">
      <formula>IF(E79="",0,IF(OR(LEFT(E79,1)=LEFT(E78,1),LEFT(E79,1)=LEFT(E77,1)),1,0))</formula>
    </cfRule>
  </conditionalFormatting>
  <conditionalFormatting sqref="E80">
    <cfRule type="expression" dxfId="547" priority="130">
      <formula>IF(E80="",0,IF(OR(LEFT(E80,LEN(E80)-1)=LEFT(E79,LEN(E79)-1),LEFT(E80,LEN(E80)-1)=LEFT(E78,LEN(E78)-1),LEFT(E80,LEN(E80)-1)=LEFT(E77,LEN(E77)-1)),1,0))</formula>
    </cfRule>
  </conditionalFormatting>
  <conditionalFormatting sqref="E86">
    <cfRule type="expression" dxfId="546" priority="131">
      <formula>IF(E86="",0,IF(OR(LEFT(E86,LEN(E86)-1)=LEFT(E85,LEN(E85)-1),LEFT(E86,LEN(E86)-1)=LEFT(E84,LEN(E84)-1),LEFT(E86,LEN(E86)-1)=LEFT(E83,LEN(E83)-1),LEFT(E86,LEN(E86)-1)=LEFT(E82,LEN(E82)-1),LEFT(E86,1)=LEFT(E85,1)),1,0))</formula>
    </cfRule>
  </conditionalFormatting>
  <conditionalFormatting sqref="E83">
    <cfRule type="expression" dxfId="545" priority="132">
      <formula>IF(E83="",0,IF(LEFT(E83,1)=LEFT(E82,1),1,0))</formula>
    </cfRule>
  </conditionalFormatting>
  <conditionalFormatting sqref="E84">
    <cfRule type="expression" dxfId="544" priority="133">
      <formula>IF(E84="",0,IF(OR(LEFT(E84,1)=LEFT(E83,1),LEFT(E84,1)=LEFT(E82,1)),1,0))</formula>
    </cfRule>
  </conditionalFormatting>
  <conditionalFormatting sqref="E85">
    <cfRule type="expression" dxfId="543" priority="134">
      <formula>IF(E85="",0,IF(OR(LEFT(E85,LEN(E85)-1)=LEFT(E84,LEN(E84)-1),LEFT(E85,LEN(E85)-1)=LEFT(E83,LEN(E83)-1),LEFT(E85,LEN(E85)-1)=LEFT(E82,LEN(E82)-1)),1,0))</formula>
    </cfRule>
  </conditionalFormatting>
  <conditionalFormatting sqref="E91">
    <cfRule type="expression" dxfId="542" priority="135">
      <formula>IF(E91="",0,IF(OR(LEFT(E91,LEN(E91)-1)=LEFT(E90,LEN(E90)-1),LEFT(E91,LEN(E91)-1)=LEFT(E89,LEN(E89)-1),LEFT(E91,LEN(E91)-1)=LEFT(E88,LEN(E88)-1),LEFT(E91,LEN(E91)-1)=LEFT(E87,LEN(E87)-1),LEFT(E91,1)=LEFT(E90,1)),1,0))</formula>
    </cfRule>
  </conditionalFormatting>
  <conditionalFormatting sqref="E88">
    <cfRule type="expression" dxfId="541" priority="136">
      <formula>IF(E88="",0,IF(LEFT(E88,1)=LEFT(E87,1),1,0))</formula>
    </cfRule>
  </conditionalFormatting>
  <conditionalFormatting sqref="E89">
    <cfRule type="expression" dxfId="540" priority="137">
      <formula>IF(E89="",0,IF(OR(LEFT(E89,1)=LEFT(E88,1),LEFT(E89,1)=LEFT(E87,1)),1,0))</formula>
    </cfRule>
  </conditionalFormatting>
  <conditionalFormatting sqref="E90">
    <cfRule type="expression" dxfId="539" priority="138">
      <formula>IF(E90="",0,IF(OR(LEFT(E90,LEN(E90)-1)=LEFT(E89,LEN(E89)-1),LEFT(E90,LEN(E90)-1)=LEFT(E88,LEN(E88)-1),LEFT(E90,LEN(E90)-1)=LEFT(E87,LEN(E87)-1)),1,0))</formula>
    </cfRule>
  </conditionalFormatting>
  <conditionalFormatting sqref="E96">
    <cfRule type="expression" dxfId="538" priority="139">
      <formula>IF(E96="",0,IF(OR(LEFT(E96,LEN(E96)-1)=LEFT(E95,LEN(E95)-1),LEFT(E96,LEN(E96)-1)=LEFT(E94,LEN(E94)-1),LEFT(E96,LEN(E96)-1)=LEFT(E93,LEN(E93)-1),LEFT(E96,LEN(E96)-1)=LEFT(E92,LEN(E92)-1),LEFT(E96,1)=LEFT(E95,1)),1,0))</formula>
    </cfRule>
  </conditionalFormatting>
  <conditionalFormatting sqref="E93">
    <cfRule type="expression" dxfId="537" priority="140">
      <formula>IF(E93="",0,IF(LEFT(E93,1)=LEFT(E92,1),1,0))</formula>
    </cfRule>
  </conditionalFormatting>
  <conditionalFormatting sqref="E94">
    <cfRule type="expression" dxfId="536" priority="141">
      <formula>IF(E94="",0,IF(OR(LEFT(E94,1)=LEFT(E93,1),LEFT(E94,1)=LEFT(E92,1)),1,0))</formula>
    </cfRule>
  </conditionalFormatting>
  <conditionalFormatting sqref="E95">
    <cfRule type="expression" dxfId="535" priority="142">
      <formula>IF(E95="",0,IF(OR(LEFT(E95,LEN(E95)-1)=LEFT(E94,LEN(E94)-1),LEFT(E95,LEN(E95)-1)=LEFT(E93,LEN(E93)-1),LEFT(E95,LEN(E95)-1)=LEFT(E92,LEN(E92)-1)),1,0))</formula>
    </cfRule>
  </conditionalFormatting>
  <conditionalFormatting sqref="E101">
    <cfRule type="expression" dxfId="534" priority="143">
      <formula>IF(E101="",0,IF(OR(LEFT(E101,LEN(E101)-1)=LEFT(E100,LEN(E100)-1),LEFT(E101,LEN(E101)-1)=LEFT(E99,LEN(E99)-1),LEFT(E101,LEN(E101)-1)=LEFT(E98,LEN(E98)-1),LEFT(E101,LEN(E101)-1)=LEFT(E97,LEN(E97)-1),LEFT(E101,1)=LEFT(E100,1)),1,0))</formula>
    </cfRule>
  </conditionalFormatting>
  <conditionalFormatting sqref="E98">
    <cfRule type="expression" dxfId="533" priority="144">
      <formula>IF(E98="",0,IF(LEFT(E98,1)=LEFT(E97,1),1,0))</formula>
    </cfRule>
  </conditionalFormatting>
  <conditionalFormatting sqref="E99">
    <cfRule type="expression" dxfId="532" priority="145">
      <formula>IF(E99="",0,IF(OR(LEFT(E99,1)=LEFT(E98,1),LEFT(E99,1)=LEFT(E97,1)),1,0))</formula>
    </cfRule>
  </conditionalFormatting>
  <conditionalFormatting sqref="E100">
    <cfRule type="expression" dxfId="531" priority="146">
      <formula>IF(E100="",0,IF(OR(LEFT(E100,LEN(E100)-1)=LEFT(E99,LEN(E99)-1),LEFT(E100,LEN(E100)-1)=LEFT(E98,LEN(E98)-1),LEFT(E100,LEN(E100)-1)=LEFT(E97,LEN(E97)-1)),1,0))</formula>
    </cfRule>
  </conditionalFormatting>
  <conditionalFormatting sqref="E106">
    <cfRule type="expression" dxfId="530" priority="147">
      <formula>IF(E106="",0,IF(OR(LEFT(E106,LEN(E106)-1)=LEFT(E105,LEN(E105)-1),LEFT(E106,LEN(E106)-1)=LEFT(E104,LEN(E104)-1),LEFT(E106,LEN(E106)-1)=LEFT(E103,LEN(E103)-1),LEFT(E106,LEN(E106)-1)=LEFT(E102,LEN(E102)-1),LEFT(E106,1)=LEFT(E105,1)),1,0))</formula>
    </cfRule>
  </conditionalFormatting>
  <conditionalFormatting sqref="E103">
    <cfRule type="expression" dxfId="529" priority="148">
      <formula>IF(E103="",0,IF(LEFT(E103,1)=LEFT(E102,1),1,0))</formula>
    </cfRule>
  </conditionalFormatting>
  <conditionalFormatting sqref="E104">
    <cfRule type="expression" dxfId="528" priority="149">
      <formula>IF(E104="",0,IF(OR(LEFT(E104,1)=LEFT(E103,1),LEFT(E104,1)=LEFT(E102,1)),1,0))</formula>
    </cfRule>
  </conditionalFormatting>
  <conditionalFormatting sqref="E105">
    <cfRule type="expression" dxfId="527" priority="150">
      <formula>IF(E105="",0,IF(OR(LEFT(E105,LEN(E105)-1)=LEFT(E104,LEN(E104)-1),LEFT(E105,LEN(E105)-1)=LEFT(E103,LEN(E103)-1),LEFT(E105,LEN(E105)-1)=LEFT(E102,LEN(E102)-1)),1,0))</formula>
    </cfRule>
  </conditionalFormatting>
  <conditionalFormatting sqref="E111">
    <cfRule type="expression" dxfId="526" priority="151">
      <formula>IF(E111="",0,IF(OR(LEFT(E111,LEN(E111)-1)=LEFT(E110,LEN(E110)-1),LEFT(E111,LEN(E111)-1)=LEFT(E109,LEN(E109)-1),LEFT(E111,LEN(E111)-1)=LEFT(E108,LEN(E108)-1),LEFT(E111,LEN(E111)-1)=LEFT(E107,LEN(E107)-1),LEFT(E111,1)=LEFT(E110,1)),1,0))</formula>
    </cfRule>
  </conditionalFormatting>
  <conditionalFormatting sqref="E108">
    <cfRule type="expression" dxfId="525" priority="152">
      <formula>IF(E108="",0,IF(LEFT(E108,1)=LEFT(E107,1),1,0))</formula>
    </cfRule>
  </conditionalFormatting>
  <conditionalFormatting sqref="E109">
    <cfRule type="expression" dxfId="524" priority="153">
      <formula>IF(E109="",0,IF(OR(LEFT(E109,1)=LEFT(E108,1),LEFT(E109,1)=LEFT(E107,1)),1,0))</formula>
    </cfRule>
  </conditionalFormatting>
  <conditionalFormatting sqref="E110">
    <cfRule type="expression" dxfId="523" priority="154">
      <formula>IF(E110="",0,IF(OR(LEFT(E110,LEN(E110)-1)=LEFT(E109,LEN(E109)-1),LEFT(E110,LEN(E110)-1)=LEFT(E108,LEN(E108)-1),LEFT(E110,LEN(E110)-1)=LEFT(E107,LEN(E107)-1)),1,0))</formula>
    </cfRule>
  </conditionalFormatting>
  <conditionalFormatting sqref="E116">
    <cfRule type="expression" dxfId="522" priority="155">
      <formula>IF(E116="",0,IF(OR(LEFT(E116,LEN(E116)-1)=LEFT(E115,LEN(E115)-1),LEFT(E116,LEN(E116)-1)=LEFT(E114,LEN(E114)-1),LEFT(E116,LEN(E116)-1)=LEFT(E113,LEN(E113)-1),LEFT(E116,LEN(E116)-1)=LEFT(E112,LEN(E112)-1),LEFT(E116,1)=LEFT(E115,1)),1,0))</formula>
    </cfRule>
  </conditionalFormatting>
  <conditionalFormatting sqref="E113">
    <cfRule type="expression" dxfId="521" priority="156">
      <formula>IF(E113="",0,IF(LEFT(E113,1)=LEFT(E112,1),1,0))</formula>
    </cfRule>
  </conditionalFormatting>
  <conditionalFormatting sqref="E114">
    <cfRule type="expression" dxfId="520" priority="157">
      <formula>IF(E114="",0,IF(OR(LEFT(E114,1)=LEFT(E113,1),LEFT(E114,1)=LEFT(E112,1)),1,0))</formula>
    </cfRule>
  </conditionalFormatting>
  <conditionalFormatting sqref="E115">
    <cfRule type="expression" dxfId="519" priority="158">
      <formula>IF(E115="",0,IF(OR(LEFT(E115,LEN(E115)-1)=LEFT(E114,LEN(E114)-1),LEFT(E115,LEN(E115)-1)=LEFT(E113,LEN(E113)-1),LEFT(E115,LEN(E115)-1)=LEFT(E112,LEN(E112)-1)),1,0))</formula>
    </cfRule>
  </conditionalFormatting>
  <conditionalFormatting sqref="E121">
    <cfRule type="expression" dxfId="518" priority="159">
      <formula>IF(E121="",0,IF(OR(LEFT(E121,LEN(E121)-1)=LEFT(E120,LEN(E120)-1),LEFT(E121,LEN(E121)-1)=LEFT(E119,LEN(E119)-1),LEFT(E121,LEN(E121)-1)=LEFT(E118,LEN(E118)-1),LEFT(E121,LEN(E121)-1)=LEFT(E117,LEN(E117)-1),LEFT(E121,1)=LEFT(E120,1)),1,0))</formula>
    </cfRule>
  </conditionalFormatting>
  <conditionalFormatting sqref="E118">
    <cfRule type="expression" dxfId="517" priority="160">
      <formula>IF(E118="",0,IF(LEFT(E118,1)=LEFT(E117,1),1,0))</formula>
    </cfRule>
  </conditionalFormatting>
  <conditionalFormatting sqref="E119">
    <cfRule type="expression" dxfId="516" priority="161">
      <formula>IF(E119="",0,IF(OR(LEFT(E119,1)=LEFT(E118,1),LEFT(E119,1)=LEFT(E117,1)),1,0))</formula>
    </cfRule>
  </conditionalFormatting>
  <conditionalFormatting sqref="E120">
    <cfRule type="expression" dxfId="515" priority="162">
      <formula>IF(E120="",0,IF(OR(LEFT(E120,LEN(E120)-1)=LEFT(E119,LEN(E119)-1),LEFT(E120,LEN(E120)-1)=LEFT(E118,LEN(E118)-1),LEFT(E120,LEN(E120)-1)=LEFT(E117,LEN(E117)-1)),1,0))</formula>
    </cfRule>
  </conditionalFormatting>
  <conditionalFormatting sqref="G107">
    <cfRule type="expression" dxfId="514" priority="163">
      <formula>IF(SUM(G107:G109)&gt;5.4,1,0)</formula>
    </cfRule>
  </conditionalFormatting>
  <conditionalFormatting sqref="G113">
    <cfRule type="expression" dxfId="513" priority="164">
      <formula>IF(SUM(G112:G114)&gt;5.4,1,0)</formula>
    </cfRule>
  </conditionalFormatting>
  <conditionalFormatting sqref="G114">
    <cfRule type="expression" dxfId="512" priority="165">
      <formula>IF(SUM(G112:G114)&gt;5.4,1,0)</formula>
    </cfRule>
  </conditionalFormatting>
  <conditionalFormatting sqref="G112">
    <cfRule type="expression" dxfId="511" priority="166">
      <formula>IF(SUM(G112:G114)&gt;5.4,1,0)</formula>
    </cfRule>
  </conditionalFormatting>
  <conditionalFormatting sqref="G118">
    <cfRule type="expression" dxfId="510" priority="167">
      <formula>IF(SUM(G117:G119)&gt;5.4,1,0)</formula>
    </cfRule>
  </conditionalFormatting>
  <conditionalFormatting sqref="G119">
    <cfRule type="expression" dxfId="509" priority="168">
      <formula>IF(SUM(G117:G119)&gt;5.4,1,0)</formula>
    </cfRule>
  </conditionalFormatting>
  <conditionalFormatting sqref="G117">
    <cfRule type="expression" dxfId="508" priority="169">
      <formula>IF(SUM(G117:G119)&gt;5.4,1,0)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C2:C121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H2:L121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8"/>
  <sheetViews>
    <sheetView tabSelected="1" zoomScaleNormal="100" workbookViewId="0">
      <pane ySplit="1" topLeftCell="A2" activePane="bottomLeft" state="frozen"/>
      <selection pane="bottomLeft" activeCell="I61" sqref="I61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7.4257812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3" style="45" hidden="1" customWidth="1"/>
    <col min="20" max="20" width="9.14062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x14ac:dyDescent="0.25">
      <c r="A2" s="97">
        <v>1</v>
      </c>
      <c r="B2" s="109"/>
      <c r="C2" s="111"/>
      <c r="D2" s="46">
        <v>1</v>
      </c>
      <c r="E2" s="113"/>
      <c r="F2" s="45" t="str">
        <f>IF($E2="","",IF(ISNA(VLOOKUP($E2,DD!$A$2:$C$150,2,0)),"NO SUCH DIVE",VLOOKUP($E2,DD!$A$2:$C$150,2,0)))</f>
        <v/>
      </c>
      <c r="G2" s="51" t="str">
        <f>IF($E2="","",IF(ISNA(VLOOKUP($E2,DD!$A$2:$C$150,3,0)),"",VLOOKUP($E2,DD!$A$2:$C$150,3,0)))</f>
        <v/>
      </c>
      <c r="H2" s="115"/>
      <c r="I2" s="115"/>
      <c r="J2" s="115"/>
      <c r="K2" s="115"/>
      <c r="L2" s="115"/>
      <c r="M2" s="50"/>
      <c r="N2" s="45" t="str">
        <f t="shared" ref="N2:N33" si="0">IF(G2="","",IF(COUNT(H2:L2)=3,IF(M2&lt;&gt;"",(SUM(H2:J2)-6)*G2,SUM(H2:J2)*G2),IF(M2&lt;&gt;"",(SUM(H2:L2)-MAX(H2:L2)-MIN(H2:L2)-6)*G2,(SUM(H2:L2)-MAX(H2:L2)-MIN(H2:L2))*G2)))</f>
        <v/>
      </c>
      <c r="O2" s="45" t="str">
        <f>IF(N2="","",N2)</f>
        <v/>
      </c>
      <c r="R2" s="53">
        <f>O6+0.000001</f>
        <v>9.9999999999999995E-7</v>
      </c>
      <c r="S2" s="53">
        <f>B2</f>
        <v>0</v>
      </c>
      <c r="T2" s="53">
        <f>C2</f>
        <v>0</v>
      </c>
    </row>
    <row r="3" spans="1:20" x14ac:dyDescent="0.25">
      <c r="A3" s="97"/>
      <c r="B3" s="109"/>
      <c r="C3" s="111"/>
      <c r="D3" s="46">
        <v>2</v>
      </c>
      <c r="E3" s="113"/>
      <c r="F3" s="45" t="str">
        <f>IF($E3="","",IF(ISNA(VLOOKUP($E3,DD!$A$2:$C$150,2,0)),"NO SUCH DIVE",VLOOKUP($E3,DD!$A$2:$C$150,2,0)))</f>
        <v/>
      </c>
      <c r="G3" s="51" t="str">
        <f>IF($E3="","",IF(ISNA(VLOOKUP($E3,DD!$A$2:$C$150,3,0)),"",VLOOKUP($E3,DD!$A$2:$C$150,3,0)))</f>
        <v/>
      </c>
      <c r="H3" s="115"/>
      <c r="I3" s="115"/>
      <c r="J3" s="115"/>
      <c r="K3" s="115"/>
      <c r="L3" s="115"/>
      <c r="M3" s="50"/>
      <c r="N3" s="45" t="str">
        <f t="shared" si="0"/>
        <v/>
      </c>
      <c r="O3" s="45" t="str">
        <f>IF(N3="","",N3+O2)</f>
        <v/>
      </c>
      <c r="R3" s="53">
        <f>O11+0.000002</f>
        <v>138.400002</v>
      </c>
      <c r="S3" s="53" t="str">
        <f>B7</f>
        <v>Marc Botto</v>
      </c>
      <c r="T3" s="53" t="str">
        <f>C7</f>
        <v>Cedar</v>
      </c>
    </row>
    <row r="4" spans="1:20" x14ac:dyDescent="0.25">
      <c r="A4" s="97"/>
      <c r="B4" s="109"/>
      <c r="C4" s="111"/>
      <c r="D4" s="46">
        <v>3</v>
      </c>
      <c r="E4" s="113"/>
      <c r="F4" s="45" t="str">
        <f>IF($E4="","",IF(ISNA(VLOOKUP($E4,DD!$A$2:$C$150,2,0)),"NO SUCH DIVE",VLOOKUP($E4,DD!$A$2:$C$150,2,0)))</f>
        <v/>
      </c>
      <c r="G4" s="51" t="str">
        <f>IF($E4="","",IF(ISNA(VLOOKUP($E4,DD!$A$2:$C$150,3,0)),"",VLOOKUP($E4,DD!$A$2:$C$150,3,0)))</f>
        <v/>
      </c>
      <c r="H4" s="115"/>
      <c r="I4" s="115"/>
      <c r="J4" s="115"/>
      <c r="K4" s="115"/>
      <c r="L4" s="115"/>
      <c r="M4" s="50"/>
      <c r="N4" s="45" t="str">
        <f t="shared" si="0"/>
        <v/>
      </c>
      <c r="O4" s="45" t="str">
        <f>IF(N4="","",N4+O3)</f>
        <v/>
      </c>
      <c r="R4" s="53">
        <f>O16+0.000003</f>
        <v>181.20000299999998</v>
      </c>
      <c r="S4" s="53" t="str">
        <f>B12</f>
        <v>Deen Akrivos</v>
      </c>
      <c r="T4" s="53" t="str">
        <f>C12</f>
        <v>WLRC</v>
      </c>
    </row>
    <row r="5" spans="1:20" x14ac:dyDescent="0.25">
      <c r="A5" s="97"/>
      <c r="B5" s="109"/>
      <c r="C5" s="111"/>
      <c r="D5" s="46">
        <v>4</v>
      </c>
      <c r="E5" s="113"/>
      <c r="F5" s="45" t="str">
        <f>IF($E5="","",IF(ISNA(VLOOKUP($E5,DD!$A$2:$C$150,2,0)),"NO SUCH DIVE",VLOOKUP($E5,DD!$A$2:$C$150,2,0)))</f>
        <v/>
      </c>
      <c r="G5" s="46" t="str">
        <f>IF($E5="","",IF(ISNA(VLOOKUP($E5,DD!$A$2:$C$150,3,0)),"",VLOOKUP($E5,DD!$A$2:$C$150,3,0)))</f>
        <v/>
      </c>
      <c r="H5" s="115"/>
      <c r="I5" s="115"/>
      <c r="J5" s="115"/>
      <c r="K5" s="115"/>
      <c r="L5" s="115"/>
      <c r="M5" s="50"/>
      <c r="N5" s="45" t="str">
        <f t="shared" si="0"/>
        <v/>
      </c>
      <c r="O5" s="45" t="str">
        <f>IF(N5="","",N5+O4)</f>
        <v/>
      </c>
      <c r="R5" s="53">
        <f>O21+0.000004</f>
        <v>95.100003999999998</v>
      </c>
      <c r="S5" s="53" t="str">
        <f>B17</f>
        <v xml:space="preserve">Anthony Falcone </v>
      </c>
      <c r="T5" s="53" t="str">
        <f>C17</f>
        <v>HCP</v>
      </c>
    </row>
    <row r="6" spans="1:20" x14ac:dyDescent="0.25">
      <c r="A6" s="97"/>
      <c r="B6" s="109"/>
      <c r="C6" s="111"/>
      <c r="D6" s="46">
        <v>5</v>
      </c>
      <c r="E6" s="113"/>
      <c r="F6" s="45" t="str">
        <f>IF($E6="","",IF(ISNA(VLOOKUP($E6,DD!$A$2:$C$150,2,0)),"NO SUCH DIVE",VLOOKUP($E6,DD!$A$2:$C$150,2,0)))</f>
        <v/>
      </c>
      <c r="G6" s="46" t="str">
        <f>IF($E6="","",IF(ISNA(VLOOKUP($E6,DD!$A$2:$C$150,3,0)),"",VLOOKUP($E6,DD!$A$2:$C$150,3,0)))</f>
        <v/>
      </c>
      <c r="H6" s="115"/>
      <c r="I6" s="115"/>
      <c r="J6" s="115"/>
      <c r="K6" s="115"/>
      <c r="L6" s="115"/>
      <c r="M6" s="50"/>
      <c r="N6" s="45" t="str">
        <f t="shared" si="0"/>
        <v/>
      </c>
      <c r="O6" s="54">
        <f>IF(N6="",0,N6+O5)</f>
        <v>0</v>
      </c>
      <c r="R6" s="53">
        <f>O26+0.000005</f>
        <v>114.850005</v>
      </c>
      <c r="S6" s="53" t="str">
        <f>B22</f>
        <v>Alex Odoerfer</v>
      </c>
      <c r="T6" s="53" t="str">
        <f>C22</f>
        <v>Val</v>
      </c>
    </row>
    <row r="7" spans="1:20" x14ac:dyDescent="0.25">
      <c r="A7" s="103">
        <v>2</v>
      </c>
      <c r="B7" s="110" t="s">
        <v>435</v>
      </c>
      <c r="C7" s="112" t="s">
        <v>57</v>
      </c>
      <c r="D7" s="80">
        <v>1</v>
      </c>
      <c r="E7" s="114" t="s">
        <v>181</v>
      </c>
      <c r="F7" s="82" t="str">
        <f>IF($E7="","",IF(ISNA(VLOOKUP($E7,DD!$A$2:$C$150,2,0)),"NO SUCH DIVE",VLOOKUP($E7,DD!$A$2:$C$150,2,0)))</f>
        <v>Front somersault ½ twist pike</v>
      </c>
      <c r="G7" s="83">
        <f>IF($E7="","",IF(ISNA(VLOOKUP($E7,DD!$A$2:$C$150,3,0)),"",VLOOKUP($E7,DD!$A$2:$C$150,3,0)))</f>
        <v>1.8</v>
      </c>
      <c r="H7" s="116">
        <v>3.5</v>
      </c>
      <c r="I7" s="116">
        <v>4</v>
      </c>
      <c r="J7" s="116">
        <v>3.5</v>
      </c>
      <c r="K7" s="116">
        <v>5</v>
      </c>
      <c r="L7" s="116">
        <v>3</v>
      </c>
      <c r="M7" s="81"/>
      <c r="N7" s="82">
        <f t="shared" si="0"/>
        <v>19.8</v>
      </c>
      <c r="O7" s="82">
        <f>IF(N7="","",N7)</f>
        <v>19.8</v>
      </c>
      <c r="R7" s="53">
        <f>O31+0.000006</f>
        <v>156.450006</v>
      </c>
      <c r="S7" s="53" t="str">
        <f>B27</f>
        <v>Kris Boudreau</v>
      </c>
      <c r="T7" s="53" t="str">
        <f>C27</f>
        <v>PVPC</v>
      </c>
    </row>
    <row r="8" spans="1:20" x14ac:dyDescent="0.25">
      <c r="A8" s="103"/>
      <c r="B8" s="110"/>
      <c r="C8" s="112"/>
      <c r="D8" s="80">
        <v>2</v>
      </c>
      <c r="E8" s="114" t="s">
        <v>147</v>
      </c>
      <c r="F8" s="82" t="str">
        <f>IF($E8="","",IF(ISNA(VLOOKUP($E8,DD!$A$2:$C$150,2,0)),"NO SUCH DIVE",VLOOKUP($E8,DD!$A$2:$C$150,2,0)))</f>
        <v>Front  1 ½ somersault pike</v>
      </c>
      <c r="G8" s="83">
        <f>IF($E8="","",IF(ISNA(VLOOKUP($E8,DD!$A$2:$C$150,3,0)),"",VLOOKUP($E8,DD!$A$2:$C$150,3,0)))</f>
        <v>1.7</v>
      </c>
      <c r="H8" s="116">
        <v>5.5</v>
      </c>
      <c r="I8" s="116">
        <v>5.5</v>
      </c>
      <c r="J8" s="116">
        <v>5.5</v>
      </c>
      <c r="K8" s="116">
        <v>6.5</v>
      </c>
      <c r="L8" s="116">
        <v>6.5</v>
      </c>
      <c r="M8" s="81"/>
      <c r="N8" s="82">
        <f t="shared" si="0"/>
        <v>29.75</v>
      </c>
      <c r="O8" s="82">
        <f>IF(N8="","",N8+O7)</f>
        <v>49.55</v>
      </c>
      <c r="R8" s="53">
        <f>O36+0.000007</f>
        <v>62.700006999999992</v>
      </c>
      <c r="S8" s="53" t="str">
        <f>B32</f>
        <v>Raf Almeida</v>
      </c>
      <c r="T8" s="53" t="str">
        <f>C32</f>
        <v>Cedar</v>
      </c>
    </row>
    <row r="9" spans="1:20" x14ac:dyDescent="0.25">
      <c r="A9" s="103"/>
      <c r="B9" s="110"/>
      <c r="C9" s="112"/>
      <c r="D9" s="80">
        <v>3</v>
      </c>
      <c r="E9" s="114" t="s">
        <v>96</v>
      </c>
      <c r="F9" s="82" t="str">
        <f>IF($E9="","",IF(ISNA(VLOOKUP($E9,DD!$A$2:$C$150,2,0)),"NO SUCH DIVE",VLOOKUP($E9,DD!$A$2:$C$150,2,0)))</f>
        <v>Inward dive tuck</v>
      </c>
      <c r="G9" s="83">
        <f>IF($E9="","",IF(ISNA(VLOOKUP($E9,DD!$A$2:$C$150,3,0)),"",VLOOKUP($E9,DD!$A$2:$C$150,3,0)))</f>
        <v>1.5</v>
      </c>
      <c r="H9" s="116">
        <v>6</v>
      </c>
      <c r="I9" s="116">
        <v>5</v>
      </c>
      <c r="J9" s="116">
        <v>5.5</v>
      </c>
      <c r="K9" s="116">
        <v>6.5</v>
      </c>
      <c r="L9" s="116">
        <v>6</v>
      </c>
      <c r="M9" s="81"/>
      <c r="N9" s="82">
        <f t="shared" si="0"/>
        <v>26.25</v>
      </c>
      <c r="O9" s="82">
        <f>IF(N9="","",N9+O8)</f>
        <v>75.8</v>
      </c>
      <c r="R9" s="53">
        <f>O41+0.000008</f>
        <v>117.00000799999999</v>
      </c>
      <c r="S9" s="53" t="str">
        <f>B37</f>
        <v>Jeff Patrouille</v>
      </c>
      <c r="T9" s="53" t="str">
        <f>C37</f>
        <v>PVPC</v>
      </c>
    </row>
    <row r="10" spans="1:20" x14ac:dyDescent="0.25">
      <c r="A10" s="103"/>
      <c r="B10" s="110"/>
      <c r="C10" s="112"/>
      <c r="D10" s="80">
        <v>4</v>
      </c>
      <c r="E10" s="114" t="s">
        <v>112</v>
      </c>
      <c r="F10" s="82" t="str">
        <f>IF($E10="","",IF(ISNA(VLOOKUP($E10,DD!$A$2:$C$150,2,0)),"NO SUCH DIVE",VLOOKUP($E10,DD!$A$2:$C$150,2,0)))</f>
        <v>Back somersault tuck</v>
      </c>
      <c r="G10" s="80">
        <f>IF($E10="","",IF(ISNA(VLOOKUP($E10,DD!$A$2:$C$150,3,0)),"",VLOOKUP($E10,DD!$A$2:$C$150,3,0)))</f>
        <v>1.5</v>
      </c>
      <c r="H10" s="116">
        <v>6</v>
      </c>
      <c r="I10" s="116">
        <v>6.5</v>
      </c>
      <c r="J10" s="116">
        <v>6</v>
      </c>
      <c r="K10" s="116">
        <v>6.5</v>
      </c>
      <c r="L10" s="116">
        <v>6.5</v>
      </c>
      <c r="M10" s="81"/>
      <c r="N10" s="82">
        <f t="shared" si="0"/>
        <v>28.5</v>
      </c>
      <c r="O10" s="82">
        <f>IF(N10="","",N10+O9)</f>
        <v>104.3</v>
      </c>
      <c r="R10" s="53">
        <f>O46+0.000009</f>
        <v>74.100009</v>
      </c>
      <c r="S10" s="53" t="str">
        <f>B42</f>
        <v>Nicky Brodbeck</v>
      </c>
      <c r="T10" s="53" t="str">
        <f>C42</f>
        <v>Cedar</v>
      </c>
    </row>
    <row r="11" spans="1:20" x14ac:dyDescent="0.25">
      <c r="A11" s="103"/>
      <c r="B11" s="110"/>
      <c r="C11" s="112"/>
      <c r="D11" s="80">
        <v>5</v>
      </c>
      <c r="E11" s="114" t="s">
        <v>426</v>
      </c>
      <c r="F11" s="82" t="str">
        <f>IF($E11="","",IF(ISNA(VLOOKUP($E11,DD!$A$2:$C$150,2,0)),"NO SUCH DIVE",VLOOKUP($E11,DD!$A$2:$C$150,2,0)))</f>
        <v>Front double somersault tuck</v>
      </c>
      <c r="G11" s="80">
        <f>IF($E11="","",IF(ISNA(VLOOKUP($E11,DD!$A$2:$C$150,3,0)),"",VLOOKUP($E11,DD!$A$2:$C$150,3,0)))</f>
        <v>2.2000000000000002</v>
      </c>
      <c r="H11" s="116">
        <v>4.5</v>
      </c>
      <c r="I11" s="116">
        <v>5</v>
      </c>
      <c r="J11" s="116">
        <v>6</v>
      </c>
      <c r="K11" s="116">
        <v>5.5</v>
      </c>
      <c r="L11" s="116">
        <v>5</v>
      </c>
      <c r="M11" s="81"/>
      <c r="N11" s="82">
        <f t="shared" si="0"/>
        <v>34.1</v>
      </c>
      <c r="O11" s="85">
        <f>IF(N11="",0,N11+O10)</f>
        <v>138.4</v>
      </c>
      <c r="R11" s="53">
        <f>O51+0.00001</f>
        <v>136.70001000000002</v>
      </c>
      <c r="S11" s="53" t="str">
        <f>B47</f>
        <v>Kai Brodeur</v>
      </c>
      <c r="T11" s="53" t="str">
        <f>C47</f>
        <v>Val</v>
      </c>
    </row>
    <row r="12" spans="1:20" x14ac:dyDescent="0.25">
      <c r="A12" s="97">
        <v>3</v>
      </c>
      <c r="B12" s="109" t="s">
        <v>436</v>
      </c>
      <c r="C12" s="111" t="s">
        <v>88</v>
      </c>
      <c r="D12" s="46">
        <v>1</v>
      </c>
      <c r="E12" s="113" t="s">
        <v>203</v>
      </c>
      <c r="F12" s="45" t="str">
        <f>IF($E12="","",IF(ISNA(VLOOKUP($E12,DD!$A$2:$C$150,2,0)),"NO SUCH DIVE",VLOOKUP($E12,DD!$A$2:$C$150,2,0)))</f>
        <v>Front  1 ½ somersault pike</v>
      </c>
      <c r="G12" s="51">
        <f>IF($E12="","",IF(ISNA(VLOOKUP($E12,DD!$A$2:$C$150,3,0)),"",VLOOKUP($E12,DD!$A$2:$C$150,3,0)))</f>
        <v>1.7</v>
      </c>
      <c r="H12" s="115">
        <v>8.5</v>
      </c>
      <c r="I12" s="115">
        <v>8.5</v>
      </c>
      <c r="J12" s="115">
        <v>6.5</v>
      </c>
      <c r="K12" s="115">
        <v>7.5</v>
      </c>
      <c r="L12" s="115">
        <v>7</v>
      </c>
      <c r="M12" s="50"/>
      <c r="N12" s="45">
        <f t="shared" si="0"/>
        <v>39.1</v>
      </c>
      <c r="O12" s="45">
        <f>IF(N12="","",N12)</f>
        <v>39.1</v>
      </c>
      <c r="R12" s="53">
        <f>O56+0.000011</f>
        <v>88.500011000000001</v>
      </c>
      <c r="S12" s="53" t="str">
        <f>B52</f>
        <v>Phoenix Marquis-Bilquard</v>
      </c>
      <c r="T12" s="53" t="str">
        <f>C52</f>
        <v>Side</v>
      </c>
    </row>
    <row r="13" spans="1:20" x14ac:dyDescent="0.25">
      <c r="A13" s="97"/>
      <c r="B13" s="109"/>
      <c r="C13" s="111"/>
      <c r="D13" s="46">
        <v>2</v>
      </c>
      <c r="E13" s="113" t="s">
        <v>165</v>
      </c>
      <c r="F13" s="45" t="str">
        <f>IF($E13="","",IF(ISNA(VLOOKUP($E13,DD!$A$2:$C$150,2,0)),"NO SUCH DIVE",VLOOKUP($E13,DD!$A$2:$C$150,2,0)))</f>
        <v>Inward dive pike</v>
      </c>
      <c r="G13" s="51">
        <f>IF($E13="","",IF(ISNA(VLOOKUP($E13,DD!$A$2:$C$150,3,0)),"",VLOOKUP($E13,DD!$A$2:$C$150,3,0)))</f>
        <v>1.5</v>
      </c>
      <c r="H13" s="115">
        <v>8.5</v>
      </c>
      <c r="I13" s="115">
        <v>8.5</v>
      </c>
      <c r="J13" s="115">
        <v>8</v>
      </c>
      <c r="K13" s="115">
        <v>8</v>
      </c>
      <c r="L13" s="115">
        <v>8.5</v>
      </c>
      <c r="M13" s="50"/>
      <c r="N13" s="45">
        <f t="shared" si="0"/>
        <v>37.5</v>
      </c>
      <c r="O13" s="45">
        <f>IF(N13="","",N13+O12)</f>
        <v>76.599999999999994</v>
      </c>
      <c r="R13" s="53">
        <f>O61+0.000012</f>
        <v>140.400012</v>
      </c>
      <c r="S13" s="53" t="str">
        <f>B57</f>
        <v>Juan Cruz</v>
      </c>
      <c r="T13" s="53" t="str">
        <f>C57</f>
        <v>VIK</v>
      </c>
    </row>
    <row r="14" spans="1:20" x14ac:dyDescent="0.25">
      <c r="A14" s="97"/>
      <c r="B14" s="109"/>
      <c r="C14" s="111"/>
      <c r="D14" s="46">
        <v>3</v>
      </c>
      <c r="E14" s="113" t="s">
        <v>266</v>
      </c>
      <c r="F14" s="45" t="str">
        <f>IF($E14="","",IF(ISNA(VLOOKUP($E14,DD!$A$2:$C$150,2,0)),"NO SUCH DIVE",VLOOKUP($E14,DD!$A$2:$C$150,2,0)))</f>
        <v>Reverse somersault tuck</v>
      </c>
      <c r="G14" s="51">
        <f>IF($E14="","",IF(ISNA(VLOOKUP($E14,DD!$A$2:$C$150,3,0)),"",VLOOKUP($E14,DD!$A$2:$C$150,3,0)))</f>
        <v>1.6</v>
      </c>
      <c r="H14" s="115">
        <v>6</v>
      </c>
      <c r="I14" s="115">
        <v>5</v>
      </c>
      <c r="J14" s="115">
        <v>5.5</v>
      </c>
      <c r="K14" s="115">
        <v>6</v>
      </c>
      <c r="L14" s="115">
        <v>6</v>
      </c>
      <c r="M14" s="50"/>
      <c r="N14" s="45">
        <f t="shared" si="0"/>
        <v>28</v>
      </c>
      <c r="O14" s="45">
        <f>IF(N14="","",N14+O13)</f>
        <v>104.6</v>
      </c>
      <c r="R14" s="53">
        <f>O66+0.000013</f>
        <v>128.80001300000001</v>
      </c>
      <c r="S14" s="53" t="str">
        <f>B62</f>
        <v>Jonathan Munger</v>
      </c>
      <c r="T14" s="53">
        <f>C62</f>
        <v>0</v>
      </c>
    </row>
    <row r="15" spans="1:20" x14ac:dyDescent="0.25">
      <c r="A15" s="97"/>
      <c r="B15" s="109"/>
      <c r="C15" s="111"/>
      <c r="D15" s="46">
        <v>4</v>
      </c>
      <c r="E15" s="113" t="s">
        <v>323</v>
      </c>
      <c r="F15" s="45" t="str">
        <f>IF($E15="","",IF(ISNA(VLOOKUP($E15,DD!$A$2:$C$150,2,0)),"NO SUCH DIVE",VLOOKUP($E15,DD!$A$2:$C$150,2,0)))</f>
        <v>Front 1 ½ somersault, full twist free</v>
      </c>
      <c r="G15" s="46">
        <f>IF($E15="","",IF(ISNA(VLOOKUP($E15,DD!$A$2:$C$150,3,0)),"",VLOOKUP($E15,DD!$A$2:$C$150,3,0)))</f>
        <v>2.2000000000000002</v>
      </c>
      <c r="H15" s="115">
        <v>6.5</v>
      </c>
      <c r="I15" s="115">
        <v>5.5</v>
      </c>
      <c r="J15" s="115">
        <v>7</v>
      </c>
      <c r="K15" s="115">
        <v>6</v>
      </c>
      <c r="L15" s="115">
        <v>6.5</v>
      </c>
      <c r="M15" s="50"/>
      <c r="N15" s="45">
        <f t="shared" si="0"/>
        <v>41.800000000000004</v>
      </c>
      <c r="O15" s="45">
        <f>IF(N15="","",N15+O14)</f>
        <v>146.4</v>
      </c>
      <c r="R15" s="53">
        <f>O71+0.000014</f>
        <v>1.4E-5</v>
      </c>
      <c r="S15" s="53">
        <f>B67</f>
        <v>0</v>
      </c>
      <c r="T15" s="53">
        <f>C67</f>
        <v>0</v>
      </c>
    </row>
    <row r="16" spans="1:20" x14ac:dyDescent="0.25">
      <c r="A16" s="97"/>
      <c r="B16" s="109"/>
      <c r="C16" s="111"/>
      <c r="D16" s="46">
        <v>5</v>
      </c>
      <c r="E16" s="113" t="s">
        <v>220</v>
      </c>
      <c r="F16" s="45" t="str">
        <f>IF($E16="","",IF(ISNA(VLOOKUP($E16,DD!$A$2:$C$150,2,0)),"NO SUCH DIVE",VLOOKUP($E16,DD!$A$2:$C$150,2,0)))</f>
        <v>Front triple somersault tuck</v>
      </c>
      <c r="G16" s="46">
        <f>IF($E16="","",IF(ISNA(VLOOKUP($E16,DD!$A$2:$C$150,3,0)),"",VLOOKUP($E16,DD!$A$2:$C$150,3,0)))</f>
        <v>2.9</v>
      </c>
      <c r="H16" s="115">
        <v>4.5</v>
      </c>
      <c r="I16" s="115">
        <v>4.5</v>
      </c>
      <c r="J16" s="115">
        <v>3</v>
      </c>
      <c r="K16" s="115">
        <v>4.5</v>
      </c>
      <c r="L16" s="115">
        <v>3</v>
      </c>
      <c r="M16" s="50"/>
      <c r="N16" s="45">
        <f t="shared" si="0"/>
        <v>34.799999999999997</v>
      </c>
      <c r="O16" s="54">
        <f>IF(N16="",0,N16+O15)</f>
        <v>181.2</v>
      </c>
      <c r="R16" s="53">
        <f>O76+0.000015</f>
        <v>1.5E-5</v>
      </c>
      <c r="S16" s="53">
        <f>B72</f>
        <v>0</v>
      </c>
      <c r="T16" s="53">
        <f>C72</f>
        <v>0</v>
      </c>
    </row>
    <row r="17" spans="1:20" x14ac:dyDescent="0.25">
      <c r="A17" s="103">
        <v>4</v>
      </c>
      <c r="B17" s="110" t="s">
        <v>437</v>
      </c>
      <c r="C17" s="112" t="s">
        <v>49</v>
      </c>
      <c r="D17" s="80">
        <v>1</v>
      </c>
      <c r="E17" s="114" t="s">
        <v>118</v>
      </c>
      <c r="F17" s="82" t="str">
        <f>IF($E17="","",IF(ISNA(VLOOKUP($E17,DD!$A$2:$C$150,2,0)),"NO SUCH DIVE",VLOOKUP($E17,DD!$A$2:$C$150,2,0)))</f>
        <v>Front dive tuck</v>
      </c>
      <c r="G17" s="83">
        <f>IF($E17="","",IF(ISNA(VLOOKUP($E17,DD!$A$2:$C$150,3,0)),"",VLOOKUP($E17,DD!$A$2:$C$150,3,0)))</f>
        <v>1.3</v>
      </c>
      <c r="H17" s="116">
        <v>5.5</v>
      </c>
      <c r="I17" s="116">
        <v>5.5</v>
      </c>
      <c r="J17" s="116">
        <v>5.5</v>
      </c>
      <c r="K17" s="116">
        <v>5.5</v>
      </c>
      <c r="L17" s="116">
        <v>5</v>
      </c>
      <c r="M17" s="81"/>
      <c r="N17" s="82">
        <f t="shared" si="0"/>
        <v>21.45</v>
      </c>
      <c r="O17" s="82">
        <f>IF(N17="","",N17)</f>
        <v>21.45</v>
      </c>
      <c r="R17" s="53">
        <f>O81+0.000016</f>
        <v>1.5999999999999999E-5</v>
      </c>
      <c r="S17" s="53">
        <f>B77</f>
        <v>0</v>
      </c>
      <c r="T17" s="53">
        <f>C77</f>
        <v>0</v>
      </c>
    </row>
    <row r="18" spans="1:20" x14ac:dyDescent="0.25">
      <c r="A18" s="103"/>
      <c r="B18" s="110"/>
      <c r="C18" s="112"/>
      <c r="D18" s="80">
        <v>2</v>
      </c>
      <c r="E18" s="114" t="s">
        <v>115</v>
      </c>
      <c r="F18" s="82" t="str">
        <f>IF($E18="","",IF(ISNA(VLOOKUP($E18,DD!$A$2:$C$150,2,0)),"NO SUCH DIVE",VLOOKUP($E18,DD!$A$2:$C$150,2,0)))</f>
        <v>Back dive layout</v>
      </c>
      <c r="G18" s="83">
        <f>IF($E18="","",IF(ISNA(VLOOKUP($E18,DD!$A$2:$C$150,3,0)),"",VLOOKUP($E18,DD!$A$2:$C$150,3,0)))</f>
        <v>1.4</v>
      </c>
      <c r="H18" s="116">
        <v>5</v>
      </c>
      <c r="I18" s="116">
        <v>4</v>
      </c>
      <c r="J18" s="116">
        <v>5</v>
      </c>
      <c r="K18" s="116">
        <v>5</v>
      </c>
      <c r="L18" s="116">
        <v>4</v>
      </c>
      <c r="M18" s="81"/>
      <c r="N18" s="82">
        <f t="shared" si="0"/>
        <v>19.599999999999998</v>
      </c>
      <c r="O18" s="82">
        <f>IF(N18="","",N18+O17)</f>
        <v>41.05</v>
      </c>
      <c r="R18" s="53">
        <f>O86+0.000017</f>
        <v>1.7E-5</v>
      </c>
      <c r="S18" s="53">
        <f>B82</f>
        <v>0</v>
      </c>
      <c r="T18" s="53">
        <f>C82</f>
        <v>0</v>
      </c>
    </row>
    <row r="19" spans="1:20" x14ac:dyDescent="0.25">
      <c r="A19" s="103"/>
      <c r="B19" s="110"/>
      <c r="C19" s="112"/>
      <c r="D19" s="80">
        <v>3</v>
      </c>
      <c r="E19" s="114" t="s">
        <v>120</v>
      </c>
      <c r="F19" s="82" t="str">
        <f>IF($E19="","",IF(ISNA(VLOOKUP($E19,DD!$A$2:$C$150,2,0)),"NO SUCH DIVE",VLOOKUP($E19,DD!$A$2:$C$150,2,0)))</f>
        <v>Back dive ½ twist layout</v>
      </c>
      <c r="G19" s="83">
        <f>IF($E19="","",IF(ISNA(VLOOKUP($E19,DD!$A$2:$C$150,3,0)),"",VLOOKUP($E19,DD!$A$2:$C$150,3,0)))</f>
        <v>1.4</v>
      </c>
      <c r="H19" s="116">
        <v>5</v>
      </c>
      <c r="I19" s="116">
        <v>4.5</v>
      </c>
      <c r="J19" s="116">
        <v>5</v>
      </c>
      <c r="K19" s="116">
        <v>4</v>
      </c>
      <c r="L19" s="116">
        <v>5</v>
      </c>
      <c r="M19" s="81"/>
      <c r="N19" s="82">
        <f t="shared" si="0"/>
        <v>20.299999999999997</v>
      </c>
      <c r="O19" s="82">
        <f>IF(N19="","",N19+O18)</f>
        <v>61.349999999999994</v>
      </c>
      <c r="R19" s="53">
        <f>O91+0.000018</f>
        <v>1.8E-5</v>
      </c>
      <c r="S19" s="53">
        <f>B87</f>
        <v>0</v>
      </c>
      <c r="T19" s="53">
        <f>C87</f>
        <v>0</v>
      </c>
    </row>
    <row r="20" spans="1:20" x14ac:dyDescent="0.25">
      <c r="A20" s="103"/>
      <c r="B20" s="110"/>
      <c r="C20" s="112"/>
      <c r="D20" s="80">
        <v>4</v>
      </c>
      <c r="E20" s="114" t="s">
        <v>123</v>
      </c>
      <c r="F20" s="82" t="str">
        <f>IF($E20="","",IF(ISNA(VLOOKUP($E20,DD!$A$2:$C$150,2,0)),"NO SUCH DIVE",VLOOKUP($E20,DD!$A$2:$C$150,2,0)))</f>
        <v>Inward dive tuck</v>
      </c>
      <c r="G20" s="80">
        <f>IF($E20="","",IF(ISNA(VLOOKUP($E20,DD!$A$2:$C$150,3,0)),"",VLOOKUP($E20,DD!$A$2:$C$150,3,0)))</f>
        <v>1.5</v>
      </c>
      <c r="H20" s="116">
        <v>4</v>
      </c>
      <c r="I20" s="116">
        <v>3.5</v>
      </c>
      <c r="J20" s="116">
        <v>5</v>
      </c>
      <c r="K20" s="116">
        <v>4</v>
      </c>
      <c r="L20" s="116">
        <v>4.5</v>
      </c>
      <c r="M20" s="81"/>
      <c r="N20" s="82">
        <f t="shared" si="0"/>
        <v>18.75</v>
      </c>
      <c r="O20" s="82">
        <f>IF(N20="","",N20+O19)</f>
        <v>80.099999999999994</v>
      </c>
      <c r="R20" s="53">
        <f>O96+0.000019</f>
        <v>1.9000000000000001E-5</v>
      </c>
      <c r="S20" s="53">
        <f>B92</f>
        <v>0</v>
      </c>
      <c r="T20" s="53">
        <f>C92</f>
        <v>0</v>
      </c>
    </row>
    <row r="21" spans="1:20" x14ac:dyDescent="0.25">
      <c r="A21" s="103"/>
      <c r="B21" s="110"/>
      <c r="C21" s="112"/>
      <c r="D21" s="80">
        <v>5</v>
      </c>
      <c r="E21" s="114" t="s">
        <v>119</v>
      </c>
      <c r="F21" s="82" t="str">
        <f>IF($E21="","",IF(ISNA(VLOOKUP($E21,DD!$A$2:$C$150,2,0)),"NO SUCH DIVE",VLOOKUP($E21,DD!$A$2:$C$150,2,0)))</f>
        <v>Back somersault tuck</v>
      </c>
      <c r="G21" s="80">
        <f>IF($E21="","",IF(ISNA(VLOOKUP($E21,DD!$A$2:$C$150,3,0)),"",VLOOKUP($E21,DD!$A$2:$C$150,3,0)))</f>
        <v>1.5</v>
      </c>
      <c r="H21" s="116">
        <v>4</v>
      </c>
      <c r="I21" s="116">
        <v>3</v>
      </c>
      <c r="J21" s="116">
        <v>3.5</v>
      </c>
      <c r="K21" s="116">
        <v>3.5</v>
      </c>
      <c r="L21" s="116">
        <v>2</v>
      </c>
      <c r="M21" s="81"/>
      <c r="N21" s="82">
        <f t="shared" si="0"/>
        <v>15</v>
      </c>
      <c r="O21" s="85">
        <f>IF(N21="",0,N21+O20)</f>
        <v>95.1</v>
      </c>
      <c r="R21" s="53">
        <f>O101+0.00002</f>
        <v>2.0000000000000002E-5</v>
      </c>
      <c r="S21" s="53">
        <f>B97</f>
        <v>0</v>
      </c>
      <c r="T21" s="53">
        <f>C97</f>
        <v>0</v>
      </c>
    </row>
    <row r="22" spans="1:20" x14ac:dyDescent="0.25">
      <c r="A22" s="97">
        <v>5</v>
      </c>
      <c r="B22" s="109" t="s">
        <v>438</v>
      </c>
      <c r="C22" s="111" t="s">
        <v>52</v>
      </c>
      <c r="D22" s="46">
        <v>1</v>
      </c>
      <c r="E22" s="113" t="s">
        <v>138</v>
      </c>
      <c r="F22" s="45" t="str">
        <f>IF($E22="","",IF(ISNA(VLOOKUP($E22,DD!$A$2:$C$150,2,0)),"NO SUCH DIVE",VLOOKUP($E22,DD!$A$2:$C$150,2,0)))</f>
        <v>Front dive pike</v>
      </c>
      <c r="G22" s="51">
        <f>IF($E22="","",IF(ISNA(VLOOKUP($E22,DD!$A$2:$C$150,3,0)),"",VLOOKUP($E22,DD!$A$2:$C$150,3,0)))</f>
        <v>1.3</v>
      </c>
      <c r="H22" s="115">
        <v>7</v>
      </c>
      <c r="I22" s="115">
        <v>7</v>
      </c>
      <c r="J22" s="115">
        <v>7</v>
      </c>
      <c r="K22" s="115">
        <v>6</v>
      </c>
      <c r="L22" s="115">
        <v>6</v>
      </c>
      <c r="M22" s="50"/>
      <c r="N22" s="45">
        <f t="shared" si="0"/>
        <v>26</v>
      </c>
      <c r="O22" s="45">
        <f>IF(N22="","",N22)</f>
        <v>26</v>
      </c>
      <c r="R22" s="53">
        <f>O106+0.000021</f>
        <v>2.0999999999999999E-5</v>
      </c>
      <c r="S22" s="53">
        <f>B102</f>
        <v>0</v>
      </c>
      <c r="T22" s="53">
        <f>C102</f>
        <v>0</v>
      </c>
    </row>
    <row r="23" spans="1:20" x14ac:dyDescent="0.25">
      <c r="A23" s="97"/>
      <c r="B23" s="109"/>
      <c r="C23" s="111"/>
      <c r="D23" s="46">
        <v>2</v>
      </c>
      <c r="E23" s="113" t="s">
        <v>58</v>
      </c>
      <c r="F23" s="45" t="str">
        <f>IF($E23="","",IF(ISNA(VLOOKUP($E23,DD!$A$2:$C$150,2,0)),"NO SUCH DIVE",VLOOKUP($E23,DD!$A$2:$C$150,2,0)))</f>
        <v>Back dive layout</v>
      </c>
      <c r="G23" s="51">
        <f>IF($E23="","",IF(ISNA(VLOOKUP($E23,DD!$A$2:$C$150,3,0)),"",VLOOKUP($E23,DD!$A$2:$C$150,3,0)))</f>
        <v>1.4</v>
      </c>
      <c r="H23" s="115">
        <v>4.5</v>
      </c>
      <c r="I23" s="115">
        <v>4.5</v>
      </c>
      <c r="J23" s="115">
        <v>5</v>
      </c>
      <c r="K23" s="115">
        <v>4.5</v>
      </c>
      <c r="L23" s="115">
        <v>5</v>
      </c>
      <c r="M23" s="50"/>
      <c r="N23" s="45">
        <f t="shared" si="0"/>
        <v>19.599999999999998</v>
      </c>
      <c r="O23" s="45">
        <f>IF(N23="","",N23+O22)</f>
        <v>45.599999999999994</v>
      </c>
      <c r="R23" s="53">
        <f>O111+0.000022</f>
        <v>2.1999999999999999E-5</v>
      </c>
      <c r="S23" s="53">
        <f>B107</f>
        <v>0</v>
      </c>
      <c r="T23" s="53">
        <f>C107</f>
        <v>0</v>
      </c>
    </row>
    <row r="24" spans="1:20" x14ac:dyDescent="0.25">
      <c r="A24" s="97"/>
      <c r="B24" s="109"/>
      <c r="C24" s="111"/>
      <c r="D24" s="46">
        <v>3</v>
      </c>
      <c r="E24" s="113" t="s">
        <v>447</v>
      </c>
      <c r="F24" s="45" t="str">
        <f>IF($E24="","",IF(ISNA(VLOOKUP($E24,DD!$A$2:$C$150,2,0)),"NO SUCH DIVE",VLOOKUP($E24,DD!$A$2:$C$150,2,0)))</f>
        <v>Back somersault full twist free</v>
      </c>
      <c r="G24" s="51">
        <f>IF($E24="","",IF(ISNA(VLOOKUP($E24,DD!$A$2:$C$150,3,0)),"",VLOOKUP($E24,DD!$A$2:$C$150,3,0)))</f>
        <v>1.9</v>
      </c>
      <c r="H24" s="115">
        <v>3.5</v>
      </c>
      <c r="I24" s="115">
        <v>4</v>
      </c>
      <c r="J24" s="115">
        <v>3</v>
      </c>
      <c r="K24" s="115">
        <v>4.5</v>
      </c>
      <c r="L24" s="115">
        <v>4</v>
      </c>
      <c r="M24" s="50"/>
      <c r="N24" s="45">
        <f t="shared" si="0"/>
        <v>21.849999999999998</v>
      </c>
      <c r="O24" s="45">
        <f>IF(N24="","",N24+O23)</f>
        <v>67.449999999999989</v>
      </c>
      <c r="R24" s="53">
        <f>O116+0.000023</f>
        <v>2.3E-5</v>
      </c>
      <c r="S24" s="53">
        <f>B112</f>
        <v>0</v>
      </c>
      <c r="T24" s="53">
        <f>C112</f>
        <v>0</v>
      </c>
    </row>
    <row r="25" spans="1:20" x14ac:dyDescent="0.25">
      <c r="A25" s="97"/>
      <c r="B25" s="109"/>
      <c r="C25" s="111"/>
      <c r="D25" s="46">
        <v>4</v>
      </c>
      <c r="E25" s="113" t="s">
        <v>155</v>
      </c>
      <c r="F25" s="45" t="str">
        <f>IF($E25="","",IF(ISNA(VLOOKUP($E25,DD!$A$2:$C$150,2,0)),"NO SUCH DIVE",VLOOKUP($E25,DD!$A$2:$C$150,2,0)))</f>
        <v>Front  1 ½ somersault tuck</v>
      </c>
      <c r="G25" s="46">
        <f>IF($E25="","",IF(ISNA(VLOOKUP($E25,DD!$A$2:$C$150,3,0)),"",VLOOKUP($E25,DD!$A$2:$C$150,3,0)))</f>
        <v>1.6</v>
      </c>
      <c r="H25" s="115">
        <v>6.5</v>
      </c>
      <c r="I25" s="115">
        <v>6.5</v>
      </c>
      <c r="J25" s="115">
        <v>7</v>
      </c>
      <c r="K25" s="115">
        <v>6</v>
      </c>
      <c r="L25" s="115">
        <v>5.5</v>
      </c>
      <c r="M25" s="50"/>
      <c r="N25" s="45">
        <f t="shared" si="0"/>
        <v>30.400000000000002</v>
      </c>
      <c r="O25" s="45">
        <f>IF(N25="","",N25+O24)</f>
        <v>97.85</v>
      </c>
      <c r="R25" s="53">
        <f>O121+0.000024</f>
        <v>2.4000000000000001E-5</v>
      </c>
      <c r="S25" s="53">
        <f>B117</f>
        <v>0</v>
      </c>
      <c r="T25" s="53">
        <f>C117</f>
        <v>0</v>
      </c>
    </row>
    <row r="26" spans="1:20" x14ac:dyDescent="0.25">
      <c r="A26" s="97"/>
      <c r="B26" s="109"/>
      <c r="C26" s="111"/>
      <c r="D26" s="46">
        <v>5</v>
      </c>
      <c r="E26" s="113" t="s">
        <v>146</v>
      </c>
      <c r="F26" s="45" t="str">
        <f>IF($E26="","",IF(ISNA(VLOOKUP($E26,DD!$A$2:$C$150,2,0)),"NO SUCH DIVE",VLOOKUP($E26,DD!$A$2:$C$150,2,0)))</f>
        <v>Back somersault layout</v>
      </c>
      <c r="G26" s="46">
        <f>IF($E26="","",IF(ISNA(VLOOKUP($E26,DD!$A$2:$C$150,3,0)),"",VLOOKUP($E26,DD!$A$2:$C$150,3,0)))</f>
        <v>1.7</v>
      </c>
      <c r="H26" s="115">
        <v>3.5</v>
      </c>
      <c r="I26" s="115">
        <v>3.5</v>
      </c>
      <c r="J26" s="115">
        <v>2.5</v>
      </c>
      <c r="K26" s="115">
        <v>4.5</v>
      </c>
      <c r="L26" s="115">
        <v>3</v>
      </c>
      <c r="M26" s="50"/>
      <c r="N26" s="45">
        <f t="shared" si="0"/>
        <v>17</v>
      </c>
      <c r="O26" s="54">
        <f>IF(N26="",0,N26+O25)</f>
        <v>114.85</v>
      </c>
      <c r="R26" s="53">
        <v>0</v>
      </c>
    </row>
    <row r="27" spans="1:20" x14ac:dyDescent="0.25">
      <c r="A27" s="103">
        <v>6</v>
      </c>
      <c r="B27" s="110" t="s">
        <v>439</v>
      </c>
      <c r="C27" s="112" t="s">
        <v>76</v>
      </c>
      <c r="D27" s="80">
        <v>1</v>
      </c>
      <c r="E27" s="114" t="s">
        <v>89</v>
      </c>
      <c r="F27" s="82" t="str">
        <f>IF($E27="","",IF(ISNA(VLOOKUP($E27,DD!$A$2:$C$150,2,0)),"NO SUCH DIVE",VLOOKUP($E27,DD!$A$2:$C$150,2,0)))</f>
        <v>Front dive tuck</v>
      </c>
      <c r="G27" s="83">
        <f>IF($E27="","",IF(ISNA(VLOOKUP($E27,DD!$A$2:$C$150,3,0)),"",VLOOKUP($E27,DD!$A$2:$C$150,3,0)))</f>
        <v>1.3</v>
      </c>
      <c r="H27" s="116">
        <v>7.5</v>
      </c>
      <c r="I27" s="116">
        <v>7.5</v>
      </c>
      <c r="J27" s="116">
        <v>7</v>
      </c>
      <c r="K27" s="116">
        <v>7</v>
      </c>
      <c r="L27" s="116">
        <v>7</v>
      </c>
      <c r="M27" s="81"/>
      <c r="N27" s="82">
        <f t="shared" si="0"/>
        <v>27.95</v>
      </c>
      <c r="O27" s="82">
        <f>IF(N27="","",N27)</f>
        <v>27.95</v>
      </c>
    </row>
    <row r="28" spans="1:20" x14ac:dyDescent="0.25">
      <c r="A28" s="103"/>
      <c r="B28" s="110"/>
      <c r="C28" s="112"/>
      <c r="D28" s="80">
        <v>2</v>
      </c>
      <c r="E28" s="114" t="s">
        <v>119</v>
      </c>
      <c r="F28" s="82" t="str">
        <f>IF($E28="","",IF(ISNA(VLOOKUP($E28,DD!$A$2:$C$150,2,0)),"NO SUCH DIVE",VLOOKUP($E28,DD!$A$2:$C$150,2,0)))</f>
        <v>Back somersault tuck</v>
      </c>
      <c r="G28" s="83">
        <f>IF($E28="","",IF(ISNA(VLOOKUP($E28,DD!$A$2:$C$150,3,0)),"",VLOOKUP($E28,DD!$A$2:$C$150,3,0)))</f>
        <v>1.5</v>
      </c>
      <c r="H28" s="116">
        <v>7.5</v>
      </c>
      <c r="I28" s="116">
        <v>7.5</v>
      </c>
      <c r="J28" s="116">
        <v>7</v>
      </c>
      <c r="K28" s="116">
        <v>7</v>
      </c>
      <c r="L28" s="116">
        <v>8</v>
      </c>
      <c r="M28" s="81"/>
      <c r="N28" s="82">
        <f t="shared" si="0"/>
        <v>33</v>
      </c>
      <c r="O28" s="82">
        <f>IF(N28="","",N28+O27)</f>
        <v>60.95</v>
      </c>
    </row>
    <row r="29" spans="1:20" x14ac:dyDescent="0.25">
      <c r="A29" s="103"/>
      <c r="B29" s="110"/>
      <c r="C29" s="112"/>
      <c r="D29" s="80">
        <v>3</v>
      </c>
      <c r="E29" s="114" t="s">
        <v>266</v>
      </c>
      <c r="F29" s="82" t="str">
        <f>IF($E29="","",IF(ISNA(VLOOKUP($E29,DD!$A$2:$C$150,2,0)),"NO SUCH DIVE",VLOOKUP($E29,DD!$A$2:$C$150,2,0)))</f>
        <v>Reverse somersault tuck</v>
      </c>
      <c r="G29" s="83">
        <f>IF($E29="","",IF(ISNA(VLOOKUP($E29,DD!$A$2:$C$150,3,0)),"",VLOOKUP($E29,DD!$A$2:$C$150,3,0)))</f>
        <v>1.6</v>
      </c>
      <c r="H29" s="116">
        <v>9</v>
      </c>
      <c r="I29" s="116">
        <v>7</v>
      </c>
      <c r="J29" s="116">
        <v>7</v>
      </c>
      <c r="K29" s="116">
        <v>7</v>
      </c>
      <c r="L29" s="116">
        <v>7.5</v>
      </c>
      <c r="M29" s="81"/>
      <c r="N29" s="82">
        <f t="shared" si="0"/>
        <v>34.4</v>
      </c>
      <c r="O29" s="82">
        <f>IF(N29="","",N29+O28)</f>
        <v>95.35</v>
      </c>
    </row>
    <row r="30" spans="1:20" x14ac:dyDescent="0.25">
      <c r="A30" s="103"/>
      <c r="B30" s="110"/>
      <c r="C30" s="112"/>
      <c r="D30" s="80">
        <v>4</v>
      </c>
      <c r="E30" s="114" t="s">
        <v>206</v>
      </c>
      <c r="F30" s="82" t="str">
        <f>IF($E30="","",IF(ISNA(VLOOKUP($E30,DD!$A$2:$C$150,2,0)),"NO SUCH DIVE",VLOOKUP($E30,DD!$A$2:$C$150,2,0)))</f>
        <v>Front  1 ½ somersault tuck</v>
      </c>
      <c r="G30" s="80">
        <f>IF($E30="","",IF(ISNA(VLOOKUP($E30,DD!$A$2:$C$150,3,0)),"",VLOOKUP($E30,DD!$A$2:$C$150,3,0)))</f>
        <v>1.6</v>
      </c>
      <c r="H30" s="116">
        <v>7.5</v>
      </c>
      <c r="I30" s="116">
        <v>8</v>
      </c>
      <c r="J30" s="116">
        <v>7</v>
      </c>
      <c r="K30" s="116">
        <v>6.5</v>
      </c>
      <c r="L30" s="116">
        <v>6.5</v>
      </c>
      <c r="M30" s="81"/>
      <c r="N30" s="82">
        <f t="shared" si="0"/>
        <v>33.6</v>
      </c>
      <c r="O30" s="82">
        <f>IF(N30="","",N30+O29)</f>
        <v>128.94999999999999</v>
      </c>
    </row>
    <row r="31" spans="1:20" x14ac:dyDescent="0.25">
      <c r="A31" s="103"/>
      <c r="B31" s="110"/>
      <c r="C31" s="112"/>
      <c r="D31" s="80">
        <v>5</v>
      </c>
      <c r="E31" s="114" t="s">
        <v>250</v>
      </c>
      <c r="F31" s="82" t="str">
        <f>IF($E31="","",IF(ISNA(VLOOKUP($E31,DD!$A$2:$C$150,2,0)),"NO SUCH DIVE",VLOOKUP($E31,DD!$A$2:$C$150,2,0)))</f>
        <v>Back double somersault tuck</v>
      </c>
      <c r="G31" s="80">
        <f>IF($E31="","",IF(ISNA(VLOOKUP($E31,DD!$A$2:$C$150,3,0)),"",VLOOKUP($E31,DD!$A$2:$C$150,3,0)))</f>
        <v>2.2000000000000002</v>
      </c>
      <c r="H31" s="116">
        <v>4.5</v>
      </c>
      <c r="I31" s="116">
        <v>4</v>
      </c>
      <c r="J31" s="116">
        <v>4</v>
      </c>
      <c r="K31" s="116">
        <v>5</v>
      </c>
      <c r="L31" s="116">
        <v>3</v>
      </c>
      <c r="M31" s="81"/>
      <c r="N31" s="82">
        <f t="shared" si="0"/>
        <v>27.500000000000004</v>
      </c>
      <c r="O31" s="85">
        <f>IF(N31="",0,N31+O30)</f>
        <v>156.44999999999999</v>
      </c>
    </row>
    <row r="32" spans="1:20" x14ac:dyDescent="0.25">
      <c r="A32" s="97">
        <v>7</v>
      </c>
      <c r="B32" s="109" t="s">
        <v>440</v>
      </c>
      <c r="C32" s="111" t="s">
        <v>57</v>
      </c>
      <c r="D32" s="46">
        <v>1</v>
      </c>
      <c r="E32" s="113" t="s">
        <v>138</v>
      </c>
      <c r="F32" s="45" t="str">
        <f>IF($E32="","",IF(ISNA(VLOOKUP($E32,DD!$A$2:$C$150,2,0)),"NO SUCH DIVE",VLOOKUP($E32,DD!$A$2:$C$150,2,0)))</f>
        <v>Front dive pike</v>
      </c>
      <c r="G32" s="51">
        <f>IF($E32="","",IF(ISNA(VLOOKUP($E32,DD!$A$2:$C$150,3,0)),"",VLOOKUP($E32,DD!$A$2:$C$150,3,0)))</f>
        <v>1.3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50"/>
      <c r="N32" s="45">
        <f t="shared" si="0"/>
        <v>0</v>
      </c>
      <c r="O32" s="45">
        <f>IF(N32="","",N32)</f>
        <v>0</v>
      </c>
    </row>
    <row r="33" spans="1:15" x14ac:dyDescent="0.25">
      <c r="A33" s="97"/>
      <c r="B33" s="109"/>
      <c r="C33" s="111"/>
      <c r="D33" s="46">
        <v>2</v>
      </c>
      <c r="E33" s="113" t="s">
        <v>96</v>
      </c>
      <c r="F33" s="45" t="str">
        <f>IF($E33="","",IF(ISNA(VLOOKUP($E33,DD!$A$2:$C$150,2,0)),"NO SUCH DIVE",VLOOKUP($E33,DD!$A$2:$C$150,2,0)))</f>
        <v>Inward dive tuck</v>
      </c>
      <c r="G33" s="51">
        <f>IF($E33="","",IF(ISNA(VLOOKUP($E33,DD!$A$2:$C$150,3,0)),"",VLOOKUP($E33,DD!$A$2:$C$150,3,0)))</f>
        <v>1.5</v>
      </c>
      <c r="H33" s="115">
        <v>5.5</v>
      </c>
      <c r="I33" s="115">
        <v>6.5</v>
      </c>
      <c r="J33" s="115">
        <v>6</v>
      </c>
      <c r="K33" s="115">
        <v>5.5</v>
      </c>
      <c r="L33" s="115">
        <v>5</v>
      </c>
      <c r="M33" s="50"/>
      <c r="N33" s="45">
        <f t="shared" si="0"/>
        <v>25.5</v>
      </c>
      <c r="O33" s="45">
        <f>IF(N33="","",N33+O32)</f>
        <v>25.5</v>
      </c>
    </row>
    <row r="34" spans="1:15" x14ac:dyDescent="0.25">
      <c r="A34" s="97"/>
      <c r="B34" s="109"/>
      <c r="C34" s="111"/>
      <c r="D34" s="46">
        <v>3</v>
      </c>
      <c r="E34" s="113" t="s">
        <v>146</v>
      </c>
      <c r="F34" s="45" t="str">
        <f>IF($E34="","",IF(ISNA(VLOOKUP($E34,DD!$A$2:$C$150,2,0)),"NO SUCH DIVE",VLOOKUP($E34,DD!$A$2:$C$150,2,0)))</f>
        <v>Back somersault layout</v>
      </c>
      <c r="G34" s="51">
        <f>IF($E34="","",IF(ISNA(VLOOKUP($E34,DD!$A$2:$C$150,3,0)),"",VLOOKUP($E34,DD!$A$2:$C$150,3,0)))</f>
        <v>1.7</v>
      </c>
      <c r="H34" s="115">
        <v>3.5</v>
      </c>
      <c r="I34" s="115">
        <v>4</v>
      </c>
      <c r="J34" s="115">
        <v>4.5</v>
      </c>
      <c r="K34" s="115">
        <v>5</v>
      </c>
      <c r="L34" s="115">
        <v>3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20.399999999999999</v>
      </c>
      <c r="O34" s="45">
        <f>IF(N34="","",N34+O33)</f>
        <v>45.9</v>
      </c>
    </row>
    <row r="35" spans="1:15" x14ac:dyDescent="0.25">
      <c r="A35" s="97"/>
      <c r="B35" s="109"/>
      <c r="C35" s="111"/>
      <c r="D35" s="46">
        <v>4</v>
      </c>
      <c r="E35" s="113" t="s">
        <v>72</v>
      </c>
      <c r="F35" s="45" t="str">
        <f>IF($E35="","",IF(ISNA(VLOOKUP($E35,DD!$A$2:$C$150,2,0)),"NO SUCH DIVE",VLOOKUP($E35,DD!$A$2:$C$150,2,0)))</f>
        <v>Front somersault tuck</v>
      </c>
      <c r="G35" s="46">
        <f>IF($E35="","",IF(ISNA(VLOOKUP($E35,DD!$A$2:$C$150,3,0)),"",VLOOKUP($E35,DD!$A$2:$C$150,3,0)))</f>
        <v>1.4</v>
      </c>
      <c r="H35" s="115">
        <v>4</v>
      </c>
      <c r="I35" s="115">
        <v>4</v>
      </c>
      <c r="J35" s="115">
        <v>4.5</v>
      </c>
      <c r="K35" s="115">
        <v>4</v>
      </c>
      <c r="L35" s="115">
        <v>4</v>
      </c>
      <c r="M35" s="50"/>
      <c r="N35" s="45">
        <f t="shared" si="1"/>
        <v>16.799999999999997</v>
      </c>
      <c r="O35" s="45">
        <f>IF(N35="","",N35+O34)</f>
        <v>62.699999999999996</v>
      </c>
    </row>
    <row r="36" spans="1:15" x14ac:dyDescent="0.25">
      <c r="A36" s="97"/>
      <c r="B36" s="109"/>
      <c r="C36" s="111"/>
      <c r="D36" s="46">
        <v>5</v>
      </c>
      <c r="E36" s="113" t="s">
        <v>448</v>
      </c>
      <c r="F36" s="45" t="str">
        <f>IF($E36="","",IF(ISNA(VLOOKUP($E36,DD!$A$2:$C$150,2,0)),"NO SUCH DIVE",VLOOKUP($E36,DD!$A$2:$C$150,2,0)))</f>
        <v>Front dive full twist layout</v>
      </c>
      <c r="G36" s="46">
        <f>IF($E36="","",IF(ISNA(VLOOKUP($E36,DD!$A$2:$C$150,3,0)),"",VLOOKUP($E36,DD!$A$2:$C$150,3,0)))</f>
        <v>2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50"/>
      <c r="N36" s="45">
        <f t="shared" si="1"/>
        <v>0</v>
      </c>
      <c r="O36" s="54">
        <f>IF(N36="",0,N36+O35)</f>
        <v>62.699999999999996</v>
      </c>
    </row>
    <row r="37" spans="1:15" x14ac:dyDescent="0.25">
      <c r="A37" s="103">
        <v>8</v>
      </c>
      <c r="B37" s="110" t="s">
        <v>441</v>
      </c>
      <c r="C37" s="112" t="s">
        <v>76</v>
      </c>
      <c r="D37" s="80">
        <v>1</v>
      </c>
      <c r="E37" s="114" t="s">
        <v>131</v>
      </c>
      <c r="F37" s="82" t="str">
        <f>IF($E37="","",IF(ISNA(VLOOKUP($E37,DD!$A$2:$C$150,2,0)),"NO SUCH DIVE",VLOOKUP($E37,DD!$A$2:$C$150,2,0)))</f>
        <v>Front dive pike</v>
      </c>
      <c r="G37" s="83">
        <f>IF($E37="","",IF(ISNA(VLOOKUP($E37,DD!$A$2:$C$150,3,0)),"",VLOOKUP($E37,DD!$A$2:$C$150,3,0)))</f>
        <v>1.3</v>
      </c>
      <c r="H37" s="116">
        <v>7</v>
      </c>
      <c r="I37" s="116">
        <v>7</v>
      </c>
      <c r="J37" s="116">
        <v>7.5</v>
      </c>
      <c r="K37" s="116">
        <v>7</v>
      </c>
      <c r="L37" s="116">
        <v>8</v>
      </c>
      <c r="M37" s="81"/>
      <c r="N37" s="82">
        <f t="shared" si="1"/>
        <v>27.95</v>
      </c>
      <c r="O37" s="82">
        <f>IF(N37="","",N37)</f>
        <v>27.95</v>
      </c>
    </row>
    <row r="38" spans="1:15" x14ac:dyDescent="0.25">
      <c r="A38" s="103"/>
      <c r="B38" s="110"/>
      <c r="C38" s="112"/>
      <c r="D38" s="80">
        <v>2</v>
      </c>
      <c r="E38" s="114" t="s">
        <v>115</v>
      </c>
      <c r="F38" s="82" t="str">
        <f>IF($E38="","",IF(ISNA(VLOOKUP($E38,DD!$A$2:$C$150,2,0)),"NO SUCH DIVE",VLOOKUP($E38,DD!$A$2:$C$150,2,0)))</f>
        <v>Back dive layout</v>
      </c>
      <c r="G38" s="83">
        <f>IF($E38="","",IF(ISNA(VLOOKUP($E38,DD!$A$2:$C$150,3,0)),"",VLOOKUP($E38,DD!$A$2:$C$150,3,0)))</f>
        <v>1.4</v>
      </c>
      <c r="H38" s="116">
        <v>4.5</v>
      </c>
      <c r="I38" s="116">
        <v>5</v>
      </c>
      <c r="J38" s="116">
        <v>5</v>
      </c>
      <c r="K38" s="116">
        <v>5</v>
      </c>
      <c r="L38" s="116">
        <v>5.5</v>
      </c>
      <c r="M38" s="81"/>
      <c r="N38" s="82">
        <f t="shared" si="1"/>
        <v>21</v>
      </c>
      <c r="O38" s="82">
        <f>IF(N38="","",N38+O37)</f>
        <v>48.95</v>
      </c>
    </row>
    <row r="39" spans="1:15" x14ac:dyDescent="0.25">
      <c r="A39" s="103"/>
      <c r="B39" s="110"/>
      <c r="C39" s="112"/>
      <c r="D39" s="80">
        <v>3</v>
      </c>
      <c r="E39" s="114" t="s">
        <v>96</v>
      </c>
      <c r="F39" s="82" t="str">
        <f>IF($E39="","",IF(ISNA(VLOOKUP($E39,DD!$A$2:$C$150,2,0)),"NO SUCH DIVE",VLOOKUP($E39,DD!$A$2:$C$150,2,0)))</f>
        <v>Inward dive tuck</v>
      </c>
      <c r="G39" s="83">
        <f>IF($E39="","",IF(ISNA(VLOOKUP($E39,DD!$A$2:$C$150,3,0)),"",VLOOKUP($E39,DD!$A$2:$C$150,3,0)))</f>
        <v>1.5</v>
      </c>
      <c r="H39" s="116">
        <v>4</v>
      </c>
      <c r="I39" s="116">
        <v>4</v>
      </c>
      <c r="J39" s="116">
        <v>4</v>
      </c>
      <c r="K39" s="116">
        <v>5</v>
      </c>
      <c r="L39" s="116">
        <v>4</v>
      </c>
      <c r="M39" s="81"/>
      <c r="N39" s="82">
        <f t="shared" si="1"/>
        <v>18</v>
      </c>
      <c r="O39" s="82">
        <f>IF(N39="","",N39+O38)</f>
        <v>66.95</v>
      </c>
    </row>
    <row r="40" spans="1:15" x14ac:dyDescent="0.25">
      <c r="A40" s="103"/>
      <c r="B40" s="110"/>
      <c r="C40" s="112"/>
      <c r="D40" s="80">
        <v>4</v>
      </c>
      <c r="E40" s="114" t="s">
        <v>155</v>
      </c>
      <c r="F40" s="82" t="str">
        <f>IF($E40="","",IF(ISNA(VLOOKUP($E40,DD!$A$2:$C$150,2,0)),"NO SUCH DIVE",VLOOKUP($E40,DD!$A$2:$C$150,2,0)))</f>
        <v>Front  1 ½ somersault tuck</v>
      </c>
      <c r="G40" s="80">
        <f>IF($E40="","",IF(ISNA(VLOOKUP($E40,DD!$A$2:$C$150,3,0)),"",VLOOKUP($E40,DD!$A$2:$C$150,3,0)))</f>
        <v>1.6</v>
      </c>
      <c r="H40" s="116">
        <v>6.5</v>
      </c>
      <c r="I40" s="116">
        <v>6</v>
      </c>
      <c r="J40" s="116">
        <v>7</v>
      </c>
      <c r="K40" s="116">
        <v>5.5</v>
      </c>
      <c r="L40" s="116">
        <v>5.5</v>
      </c>
      <c r="M40" s="81"/>
      <c r="N40" s="82">
        <f t="shared" si="1"/>
        <v>28.8</v>
      </c>
      <c r="O40" s="82">
        <f>IF(N40="","",N40+O39)</f>
        <v>95.75</v>
      </c>
    </row>
    <row r="41" spans="1:15" x14ac:dyDescent="0.25">
      <c r="A41" s="103"/>
      <c r="B41" s="110"/>
      <c r="C41" s="112"/>
      <c r="D41" s="80">
        <v>5</v>
      </c>
      <c r="E41" s="114" t="s">
        <v>425</v>
      </c>
      <c r="F41" s="82" t="str">
        <f>IF($E41="","",IF(ISNA(VLOOKUP($E41,DD!$A$2:$C$150,2,0)),"NO SUCH DIVE",VLOOKUP($E41,DD!$A$2:$C$150,2,0)))</f>
        <v>Back somersault ½ twist free</v>
      </c>
      <c r="G41" s="80">
        <f>IF($E41="","",IF(ISNA(VLOOKUP($E41,DD!$A$2:$C$150,3,0)),"",VLOOKUP($E41,DD!$A$2:$C$150,3,0)))</f>
        <v>1.7</v>
      </c>
      <c r="H41" s="116">
        <v>4</v>
      </c>
      <c r="I41" s="116">
        <v>3.5</v>
      </c>
      <c r="J41" s="116">
        <v>4</v>
      </c>
      <c r="K41" s="116">
        <v>4.5</v>
      </c>
      <c r="L41" s="116">
        <v>4.5</v>
      </c>
      <c r="M41" s="81"/>
      <c r="N41" s="82">
        <f t="shared" si="1"/>
        <v>21.25</v>
      </c>
      <c r="O41" s="85">
        <f>IF(N41="",0,N41+O40)</f>
        <v>117</v>
      </c>
    </row>
    <row r="42" spans="1:15" x14ac:dyDescent="0.25">
      <c r="A42" s="97">
        <v>9</v>
      </c>
      <c r="B42" s="109" t="s">
        <v>442</v>
      </c>
      <c r="C42" s="111" t="s">
        <v>57</v>
      </c>
      <c r="D42" s="46">
        <v>1</v>
      </c>
      <c r="E42" s="113" t="s">
        <v>54</v>
      </c>
      <c r="F42" s="45" t="str">
        <f>IF($E42="","",IF(ISNA(VLOOKUP($E42,DD!$A$2:$C$150,2,0)),"NO SUCH DIVE",VLOOKUP($E42,DD!$A$2:$C$150,2,0)))</f>
        <v>Front dive layout</v>
      </c>
      <c r="G42" s="51">
        <f>IF($E42="","",IF(ISNA(VLOOKUP($E42,DD!$A$2:$C$150,3,0)),"",VLOOKUP($E42,DD!$A$2:$C$150,3,0)))</f>
        <v>1.3</v>
      </c>
      <c r="H42" s="115">
        <v>4.5</v>
      </c>
      <c r="I42" s="115">
        <v>5</v>
      </c>
      <c r="J42" s="115">
        <v>6</v>
      </c>
      <c r="K42" s="115">
        <v>5</v>
      </c>
      <c r="L42" s="115">
        <v>5</v>
      </c>
      <c r="M42" s="50"/>
      <c r="N42" s="45">
        <f t="shared" si="1"/>
        <v>19.5</v>
      </c>
      <c r="O42" s="45">
        <f>IF(N42="","",N42)</f>
        <v>19.5</v>
      </c>
    </row>
    <row r="43" spans="1:15" x14ac:dyDescent="0.25">
      <c r="A43" s="97"/>
      <c r="B43" s="109"/>
      <c r="C43" s="111"/>
      <c r="D43" s="46">
        <v>2</v>
      </c>
      <c r="E43" s="113" t="s">
        <v>58</v>
      </c>
      <c r="F43" s="45" t="str">
        <f>IF($E43="","",IF(ISNA(VLOOKUP($E43,DD!$A$2:$C$150,2,0)),"NO SUCH DIVE",VLOOKUP($E43,DD!$A$2:$C$150,2,0)))</f>
        <v>Back dive layout</v>
      </c>
      <c r="G43" s="51">
        <f>IF($E43="","",IF(ISNA(VLOOKUP($E43,DD!$A$2:$C$150,3,0)),"",VLOOKUP($E43,DD!$A$2:$C$150,3,0)))</f>
        <v>1.4</v>
      </c>
      <c r="H43" s="115">
        <v>5</v>
      </c>
      <c r="I43" s="115">
        <v>5</v>
      </c>
      <c r="J43" s="115">
        <v>5</v>
      </c>
      <c r="K43" s="115">
        <v>5</v>
      </c>
      <c r="L43" s="115">
        <v>6</v>
      </c>
      <c r="M43" s="50"/>
      <c r="N43" s="45">
        <f t="shared" si="1"/>
        <v>21</v>
      </c>
      <c r="O43" s="45">
        <f>IF(N43="","",N43+O42)</f>
        <v>40.5</v>
      </c>
    </row>
    <row r="44" spans="1:15" x14ac:dyDescent="0.25">
      <c r="A44" s="97"/>
      <c r="B44" s="109"/>
      <c r="C44" s="111"/>
      <c r="D44" s="46">
        <v>3</v>
      </c>
      <c r="E44" s="113" t="s">
        <v>64</v>
      </c>
      <c r="F44" s="45" t="str">
        <f>IF($E44="","",IF(ISNA(VLOOKUP($E44,DD!$A$2:$C$150,2,0)),"NO SUCH DIVE",VLOOKUP($E44,DD!$A$2:$C$150,2,0)))</f>
        <v>Back dive ½ twist layout</v>
      </c>
      <c r="G44" s="51">
        <f>IF($E44="","",IF(ISNA(VLOOKUP($E44,DD!$A$2:$C$150,3,0)),"",VLOOKUP($E44,DD!$A$2:$C$150,3,0)))</f>
        <v>1.4</v>
      </c>
      <c r="H44" s="115">
        <v>4</v>
      </c>
      <c r="I44" s="115">
        <v>4</v>
      </c>
      <c r="J44" s="115">
        <v>4</v>
      </c>
      <c r="K44" s="115">
        <v>4</v>
      </c>
      <c r="L44" s="115">
        <v>4</v>
      </c>
      <c r="M44" s="50"/>
      <c r="N44" s="45">
        <f t="shared" si="1"/>
        <v>16.799999999999997</v>
      </c>
      <c r="O44" s="45">
        <f>IF(N44="","",N44+O43)</f>
        <v>57.3</v>
      </c>
    </row>
    <row r="45" spans="1:15" x14ac:dyDescent="0.25">
      <c r="A45" s="97"/>
      <c r="B45" s="109"/>
      <c r="C45" s="111"/>
      <c r="D45" s="46">
        <v>4</v>
      </c>
      <c r="E45" s="113" t="s">
        <v>72</v>
      </c>
      <c r="F45" s="45" t="str">
        <f>IF($E45="","",IF(ISNA(VLOOKUP($E45,DD!$A$2:$C$150,2,0)),"NO SUCH DIVE",VLOOKUP($E45,DD!$A$2:$C$150,2,0)))</f>
        <v>Front somersault tuck</v>
      </c>
      <c r="G45" s="46">
        <f>IF($E45="","",IF(ISNA(VLOOKUP($E45,DD!$A$2:$C$150,3,0)),"",VLOOKUP($E45,DD!$A$2:$C$150,3,0)))</f>
        <v>1.4</v>
      </c>
      <c r="H45" s="115">
        <v>4</v>
      </c>
      <c r="I45" s="115">
        <v>4</v>
      </c>
      <c r="J45" s="115">
        <v>4.5</v>
      </c>
      <c r="K45" s="115">
        <v>4</v>
      </c>
      <c r="L45" s="115">
        <v>3.5</v>
      </c>
      <c r="M45" s="50"/>
      <c r="N45" s="45">
        <f t="shared" si="1"/>
        <v>16.799999999999997</v>
      </c>
      <c r="O45" s="45">
        <f>IF(N45="","",N45+O44)</f>
        <v>74.099999999999994</v>
      </c>
    </row>
    <row r="46" spans="1:15" x14ac:dyDescent="0.25">
      <c r="A46" s="97"/>
      <c r="B46" s="109"/>
      <c r="C46" s="111"/>
      <c r="D46" s="46">
        <v>5</v>
      </c>
      <c r="E46" s="113" t="s">
        <v>448</v>
      </c>
      <c r="F46" s="45" t="str">
        <f>IF($E46="","",IF(ISNA(VLOOKUP($E46,DD!$A$2:$C$150,2,0)),"NO SUCH DIVE",VLOOKUP($E46,DD!$A$2:$C$150,2,0)))</f>
        <v>Front dive full twist layout</v>
      </c>
      <c r="G46" s="46">
        <f>IF($E46="","",IF(ISNA(VLOOKUP($E46,DD!$A$2:$C$150,3,0)),"",VLOOKUP($E46,DD!$A$2:$C$150,3,0)))</f>
        <v>2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50"/>
      <c r="N46" s="45">
        <f t="shared" si="1"/>
        <v>0</v>
      </c>
      <c r="O46" s="54">
        <f>IF(N46="",0,N46+O45)</f>
        <v>74.099999999999994</v>
      </c>
    </row>
    <row r="47" spans="1:15" x14ac:dyDescent="0.25">
      <c r="A47" s="103">
        <v>10</v>
      </c>
      <c r="B47" s="110" t="s">
        <v>443</v>
      </c>
      <c r="C47" s="112" t="s">
        <v>52</v>
      </c>
      <c r="D47" s="80">
        <v>1</v>
      </c>
      <c r="E47" s="114" t="s">
        <v>211</v>
      </c>
      <c r="F47" s="82" t="str">
        <f>IF($E47="","",IF(ISNA(VLOOKUP($E47,DD!$A$2:$C$150,2,0)),"NO SUCH DIVE",VLOOKUP($E47,DD!$A$2:$C$150,2,0)))</f>
        <v>Front double somersault tuck</v>
      </c>
      <c r="G47" s="83">
        <f>IF($E47="","",IF(ISNA(VLOOKUP($E47,DD!$A$2:$C$150,3,0)),"",VLOOKUP($E47,DD!$A$2:$C$150,3,0)))</f>
        <v>2.2000000000000002</v>
      </c>
      <c r="H47" s="116">
        <v>5.5</v>
      </c>
      <c r="I47" s="116">
        <v>5</v>
      </c>
      <c r="J47" s="116">
        <v>5</v>
      </c>
      <c r="K47" s="116">
        <v>6.5</v>
      </c>
      <c r="L47" s="116">
        <v>5</v>
      </c>
      <c r="M47" s="81"/>
      <c r="N47" s="82">
        <f t="shared" si="1"/>
        <v>34.1</v>
      </c>
      <c r="O47" s="82">
        <f>IF(N47="","",N47)</f>
        <v>34.1</v>
      </c>
    </row>
    <row r="48" spans="1:15" x14ac:dyDescent="0.25">
      <c r="A48" s="103"/>
      <c r="B48" s="110"/>
      <c r="C48" s="112"/>
      <c r="D48" s="80">
        <v>2</v>
      </c>
      <c r="E48" s="114" t="s">
        <v>449</v>
      </c>
      <c r="F48" s="82" t="str">
        <f>IF($E48="","",IF(ISNA(VLOOKUP($E48,DD!$A$2:$C$150,2,0)),"NO SUCH DIVE",VLOOKUP($E48,DD!$A$2:$C$150,2,0)))</f>
        <v>Reverse somersault tuck</v>
      </c>
      <c r="G48" s="83">
        <f>IF($E48="","",IF(ISNA(VLOOKUP($E48,DD!$A$2:$C$150,3,0)),"",VLOOKUP($E48,DD!$A$2:$C$150,3,0)))</f>
        <v>1.6</v>
      </c>
      <c r="H48" s="116">
        <v>5</v>
      </c>
      <c r="I48" s="116">
        <v>5</v>
      </c>
      <c r="J48" s="116">
        <v>5</v>
      </c>
      <c r="K48" s="116">
        <v>5.5</v>
      </c>
      <c r="L48" s="116">
        <v>6</v>
      </c>
      <c r="M48" s="81"/>
      <c r="N48" s="82">
        <f t="shared" si="1"/>
        <v>24.8</v>
      </c>
      <c r="O48" s="82">
        <f>IF(N48="","",N48+O47)</f>
        <v>58.900000000000006</v>
      </c>
    </row>
    <row r="49" spans="1:15" x14ac:dyDescent="0.25">
      <c r="A49" s="103"/>
      <c r="B49" s="110"/>
      <c r="C49" s="112"/>
      <c r="D49" s="80">
        <v>3</v>
      </c>
      <c r="E49" s="114" t="s">
        <v>96</v>
      </c>
      <c r="F49" s="82" t="str">
        <f>IF($E49="","",IF(ISNA(VLOOKUP($E49,DD!$A$2:$C$150,2,0)),"NO SUCH DIVE",VLOOKUP($E49,DD!$A$2:$C$150,2,0)))</f>
        <v>Inward dive tuck</v>
      </c>
      <c r="G49" s="83">
        <f>IF($E49="","",IF(ISNA(VLOOKUP($E49,DD!$A$2:$C$150,3,0)),"",VLOOKUP($E49,DD!$A$2:$C$150,3,0)))</f>
        <v>1.5</v>
      </c>
      <c r="H49" s="116">
        <v>6.5</v>
      </c>
      <c r="I49" s="116">
        <v>6</v>
      </c>
      <c r="J49" s="116">
        <v>6.5</v>
      </c>
      <c r="K49" s="116">
        <v>6</v>
      </c>
      <c r="L49" s="116">
        <v>6.5</v>
      </c>
      <c r="M49" s="81"/>
      <c r="N49" s="82">
        <f t="shared" si="1"/>
        <v>28.5</v>
      </c>
      <c r="O49" s="82">
        <f>IF(N49="","",N49+O48)</f>
        <v>87.4</v>
      </c>
    </row>
    <row r="50" spans="1:15" x14ac:dyDescent="0.25">
      <c r="A50" s="103"/>
      <c r="B50" s="110"/>
      <c r="C50" s="112"/>
      <c r="D50" s="80">
        <v>4</v>
      </c>
      <c r="E50" s="114" t="s">
        <v>146</v>
      </c>
      <c r="F50" s="82" t="str">
        <f>IF($E50="","",IF(ISNA(VLOOKUP($E50,DD!$A$2:$C$150,2,0)),"NO SUCH DIVE",VLOOKUP($E50,DD!$A$2:$C$150,2,0)))</f>
        <v>Back somersault layout</v>
      </c>
      <c r="G50" s="80">
        <f>IF($E50="","",IF(ISNA(VLOOKUP($E50,DD!$A$2:$C$150,3,0)),"",VLOOKUP($E50,DD!$A$2:$C$150,3,0)))</f>
        <v>1.7</v>
      </c>
      <c r="H50" s="116">
        <v>4</v>
      </c>
      <c r="I50" s="116">
        <v>5</v>
      </c>
      <c r="J50" s="116">
        <v>5</v>
      </c>
      <c r="K50" s="116">
        <v>5</v>
      </c>
      <c r="L50" s="116">
        <v>5</v>
      </c>
      <c r="M50" s="81"/>
      <c r="N50" s="82">
        <f t="shared" si="1"/>
        <v>25.5</v>
      </c>
      <c r="O50" s="82">
        <f>IF(N50="","",N50+O49)</f>
        <v>112.9</v>
      </c>
    </row>
    <row r="51" spans="1:15" x14ac:dyDescent="0.25">
      <c r="A51" s="103"/>
      <c r="B51" s="110"/>
      <c r="C51" s="112"/>
      <c r="D51" s="80">
        <v>5</v>
      </c>
      <c r="E51" s="114" t="s">
        <v>178</v>
      </c>
      <c r="F51" s="82" t="str">
        <f>IF($E51="","",IF(ISNA(VLOOKUP($E51,DD!$A$2:$C$150,2,0)),"NO SUCH DIVE",VLOOKUP($E51,DD!$A$2:$C$150,2,0)))</f>
        <v>Front somersault ½ twist free</v>
      </c>
      <c r="G51" s="80">
        <f>IF($E51="","",IF(ISNA(VLOOKUP($E51,DD!$A$2:$C$150,3,0)),"",VLOOKUP($E51,DD!$A$2:$C$150,3,0)))</f>
        <v>1.7</v>
      </c>
      <c r="H51" s="116">
        <v>5</v>
      </c>
      <c r="I51" s="116">
        <v>5.5</v>
      </c>
      <c r="J51" s="116">
        <v>4.5</v>
      </c>
      <c r="K51" s="116">
        <v>4.5</v>
      </c>
      <c r="L51" s="116">
        <v>4</v>
      </c>
      <c r="M51" s="81"/>
      <c r="N51" s="82">
        <f t="shared" si="1"/>
        <v>23.8</v>
      </c>
      <c r="O51" s="85">
        <f>IF(N51="",0,N51+O50)</f>
        <v>136.70000000000002</v>
      </c>
    </row>
    <row r="52" spans="1:15" x14ac:dyDescent="0.25">
      <c r="A52" s="97">
        <v>11</v>
      </c>
      <c r="B52" s="109" t="s">
        <v>444</v>
      </c>
      <c r="C52" s="111" t="s">
        <v>4</v>
      </c>
      <c r="D52" s="46">
        <v>1</v>
      </c>
      <c r="E52" s="113" t="s">
        <v>89</v>
      </c>
      <c r="F52" s="45" t="str">
        <f>IF($E52="","",IF(ISNA(VLOOKUP($E52,DD!$A$2:$C$150,2,0)),"NO SUCH DIVE",VLOOKUP($E52,DD!$A$2:$C$150,2,0)))</f>
        <v>Front dive tuck</v>
      </c>
      <c r="G52" s="51">
        <f>IF($E52="","",IF(ISNA(VLOOKUP($E52,DD!$A$2:$C$150,3,0)),"",VLOOKUP($E52,DD!$A$2:$C$150,3,0)))</f>
        <v>1.3</v>
      </c>
      <c r="H52" s="115">
        <v>6.5</v>
      </c>
      <c r="I52" s="115">
        <v>6</v>
      </c>
      <c r="J52" s="115">
        <v>6</v>
      </c>
      <c r="K52" s="115">
        <v>6</v>
      </c>
      <c r="L52" s="115">
        <v>6</v>
      </c>
      <c r="M52" s="50"/>
      <c r="N52" s="45">
        <f t="shared" si="1"/>
        <v>23.400000000000002</v>
      </c>
      <c r="O52" s="45">
        <f>IF(N52="","",N52)</f>
        <v>23.400000000000002</v>
      </c>
    </row>
    <row r="53" spans="1:15" x14ac:dyDescent="0.25">
      <c r="A53" s="97"/>
      <c r="B53" s="109"/>
      <c r="C53" s="111"/>
      <c r="D53" s="46">
        <v>2</v>
      </c>
      <c r="E53" s="113" t="s">
        <v>58</v>
      </c>
      <c r="F53" s="45" t="str">
        <f>IF($E53="","",IF(ISNA(VLOOKUP($E53,DD!$A$2:$C$150,2,0)),"NO SUCH DIVE",VLOOKUP($E53,DD!$A$2:$C$150,2,0)))</f>
        <v>Back dive layout</v>
      </c>
      <c r="G53" s="51">
        <f>IF($E53="","",IF(ISNA(VLOOKUP($E53,DD!$A$2:$C$150,3,0)),"",VLOOKUP($E53,DD!$A$2:$C$150,3,0)))</f>
        <v>1.4</v>
      </c>
      <c r="H53" s="115">
        <v>4</v>
      </c>
      <c r="I53" s="115">
        <v>4</v>
      </c>
      <c r="J53" s="115">
        <v>4</v>
      </c>
      <c r="K53" s="115">
        <v>4.5</v>
      </c>
      <c r="L53" s="115">
        <v>4</v>
      </c>
      <c r="M53" s="50"/>
      <c r="N53" s="45">
        <f t="shared" si="1"/>
        <v>16.799999999999997</v>
      </c>
      <c r="O53" s="45">
        <f>IF(N53="","",N53+O52)</f>
        <v>40.200000000000003</v>
      </c>
    </row>
    <row r="54" spans="1:15" x14ac:dyDescent="0.25">
      <c r="A54" s="97"/>
      <c r="B54" s="109"/>
      <c r="C54" s="111"/>
      <c r="D54" s="46">
        <v>3</v>
      </c>
      <c r="E54" s="113" t="s">
        <v>170</v>
      </c>
      <c r="F54" s="45" t="str">
        <f>IF($E54="","",IF(ISNA(VLOOKUP($E54,DD!$A$2:$C$150,2,0)),"NO SUCH DIVE",VLOOKUP($E54,DD!$A$2:$C$150,2,0)))</f>
        <v>Front dive ½ twist layout</v>
      </c>
      <c r="G54" s="51">
        <f>IF($E54="","",IF(ISNA(VLOOKUP($E54,DD!$A$2:$C$150,3,0)),"",VLOOKUP($E54,DD!$A$2:$C$150,3,0)))</f>
        <v>1.4</v>
      </c>
      <c r="H54" s="115">
        <v>3.5</v>
      </c>
      <c r="I54" s="115">
        <v>3.5</v>
      </c>
      <c r="J54" s="115">
        <v>3.5</v>
      </c>
      <c r="K54" s="115">
        <v>3.5</v>
      </c>
      <c r="L54" s="115">
        <v>3</v>
      </c>
      <c r="M54" s="50"/>
      <c r="N54" s="45">
        <f t="shared" si="1"/>
        <v>14.7</v>
      </c>
      <c r="O54" s="45">
        <f>IF(N54="","",N54+O53)</f>
        <v>54.900000000000006</v>
      </c>
    </row>
    <row r="55" spans="1:15" x14ac:dyDescent="0.25">
      <c r="A55" s="97"/>
      <c r="B55" s="109"/>
      <c r="C55" s="111"/>
      <c r="D55" s="46">
        <v>4</v>
      </c>
      <c r="E55" s="113" t="s">
        <v>72</v>
      </c>
      <c r="F55" s="45" t="str">
        <f>IF($E55="","",IF(ISNA(VLOOKUP($E55,DD!$A$2:$C$150,2,0)),"NO SUCH DIVE",VLOOKUP($E55,DD!$A$2:$C$150,2,0)))</f>
        <v>Front somersault tuck</v>
      </c>
      <c r="G55" s="46">
        <f>IF($E55="","",IF(ISNA(VLOOKUP($E55,DD!$A$2:$C$150,3,0)),"",VLOOKUP($E55,DD!$A$2:$C$150,3,0)))</f>
        <v>1.4</v>
      </c>
      <c r="H55" s="115">
        <v>4</v>
      </c>
      <c r="I55" s="115">
        <v>3.5</v>
      </c>
      <c r="J55" s="115">
        <v>4</v>
      </c>
      <c r="K55" s="115">
        <v>4</v>
      </c>
      <c r="L55" s="115">
        <v>3</v>
      </c>
      <c r="M55" s="50"/>
      <c r="N55" s="45">
        <f t="shared" si="1"/>
        <v>16.099999999999998</v>
      </c>
      <c r="O55" s="45">
        <f>IF(N55="","",N55+O54)</f>
        <v>71</v>
      </c>
    </row>
    <row r="56" spans="1:15" x14ac:dyDescent="0.25">
      <c r="A56" s="97"/>
      <c r="B56" s="109"/>
      <c r="C56" s="111"/>
      <c r="D56" s="46">
        <v>5</v>
      </c>
      <c r="E56" s="113" t="s">
        <v>64</v>
      </c>
      <c r="F56" s="45" t="str">
        <f>IF($E56="","",IF(ISNA(VLOOKUP($E56,DD!$A$2:$C$150,2,0)),"NO SUCH DIVE",VLOOKUP($E56,DD!$A$2:$C$150,2,0)))</f>
        <v>Back dive ½ twist layout</v>
      </c>
      <c r="G56" s="46">
        <f>IF($E56="","",IF(ISNA(VLOOKUP($E56,DD!$A$2:$C$150,3,0)),"",VLOOKUP($E56,DD!$A$2:$C$150,3,0)))</f>
        <v>1.4</v>
      </c>
      <c r="H56" s="115">
        <v>5.5</v>
      </c>
      <c r="I56" s="115">
        <v>4</v>
      </c>
      <c r="J56" s="115">
        <v>4.5</v>
      </c>
      <c r="K56" s="115">
        <v>3.5</v>
      </c>
      <c r="L56" s="115">
        <v>4</v>
      </c>
      <c r="M56" s="50"/>
      <c r="N56" s="45">
        <f t="shared" si="1"/>
        <v>17.5</v>
      </c>
      <c r="O56" s="54">
        <f>IF(N56="",0,N56+O55)</f>
        <v>88.5</v>
      </c>
    </row>
    <row r="57" spans="1:15" x14ac:dyDescent="0.25">
      <c r="A57" s="103">
        <v>12</v>
      </c>
      <c r="B57" s="110" t="s">
        <v>445</v>
      </c>
      <c r="C57" s="112" t="s">
        <v>60</v>
      </c>
      <c r="D57" s="80">
        <v>1</v>
      </c>
      <c r="E57" s="114" t="s">
        <v>89</v>
      </c>
      <c r="F57" s="82" t="str">
        <f>IF($E57="","",IF(ISNA(VLOOKUP($E57,DD!$A$2:$C$150,2,0)),"NO SUCH DIVE",VLOOKUP($E57,DD!$A$2:$C$150,2,0)))</f>
        <v>Front dive tuck</v>
      </c>
      <c r="G57" s="83">
        <f>IF($E57="","",IF(ISNA(VLOOKUP($E57,DD!$A$2:$C$150,3,0)),"",VLOOKUP($E57,DD!$A$2:$C$150,3,0)))</f>
        <v>1.3</v>
      </c>
      <c r="H57" s="116">
        <v>8</v>
      </c>
      <c r="I57" s="116">
        <v>8</v>
      </c>
      <c r="J57" s="116">
        <v>7</v>
      </c>
      <c r="K57" s="116">
        <v>7</v>
      </c>
      <c r="L57" s="116">
        <v>7</v>
      </c>
      <c r="M57" s="81"/>
      <c r="N57" s="82">
        <f t="shared" si="1"/>
        <v>28.6</v>
      </c>
      <c r="O57" s="82">
        <f>IF(N57="","",N57)</f>
        <v>28.6</v>
      </c>
    </row>
    <row r="58" spans="1:15" x14ac:dyDescent="0.25">
      <c r="A58" s="103"/>
      <c r="B58" s="110"/>
      <c r="C58" s="112"/>
      <c r="D58" s="80">
        <v>2</v>
      </c>
      <c r="E58" s="114" t="s">
        <v>161</v>
      </c>
      <c r="F58" s="82" t="str">
        <f>IF($E58="","",IF(ISNA(VLOOKUP($E58,DD!$A$2:$C$150,2,0)),"NO SUCH DIVE",VLOOKUP($E58,DD!$A$2:$C$150,2,0)))</f>
        <v>Inward dive pike</v>
      </c>
      <c r="G58" s="83">
        <f>IF($E58="","",IF(ISNA(VLOOKUP($E58,DD!$A$2:$C$150,3,0)),"",VLOOKUP($E58,DD!$A$2:$C$150,3,0)))</f>
        <v>1.5</v>
      </c>
      <c r="H58" s="116">
        <v>6.5</v>
      </c>
      <c r="I58" s="116">
        <v>6</v>
      </c>
      <c r="J58" s="116">
        <v>6.5</v>
      </c>
      <c r="K58" s="116">
        <v>6.5</v>
      </c>
      <c r="L58" s="116">
        <v>6</v>
      </c>
      <c r="M58" s="81"/>
      <c r="N58" s="82">
        <f t="shared" si="1"/>
        <v>28.5</v>
      </c>
      <c r="O58" s="82">
        <f>IF(N58="","",N58+O57)</f>
        <v>57.1</v>
      </c>
    </row>
    <row r="59" spans="1:15" x14ac:dyDescent="0.25">
      <c r="A59" s="103"/>
      <c r="B59" s="110"/>
      <c r="C59" s="112"/>
      <c r="D59" s="80">
        <v>3</v>
      </c>
      <c r="E59" s="114" t="s">
        <v>64</v>
      </c>
      <c r="F59" s="82" t="str">
        <f>IF($E59="","",IF(ISNA(VLOOKUP($E59,DD!$A$2:$C$150,2,0)),"NO SUCH DIVE",VLOOKUP($E59,DD!$A$2:$C$150,2,0)))</f>
        <v>Back dive ½ twist layout</v>
      </c>
      <c r="G59" s="83">
        <f>IF($E59="","",IF(ISNA(VLOOKUP($E59,DD!$A$2:$C$150,3,0)),"",VLOOKUP($E59,DD!$A$2:$C$150,3,0)))</f>
        <v>1.4</v>
      </c>
      <c r="H59" s="116">
        <v>6.5</v>
      </c>
      <c r="I59" s="116">
        <v>6</v>
      </c>
      <c r="J59" s="116">
        <v>6.5</v>
      </c>
      <c r="K59" s="116">
        <v>6</v>
      </c>
      <c r="L59" s="116">
        <v>5</v>
      </c>
      <c r="M59" s="81"/>
      <c r="N59" s="82">
        <f t="shared" si="1"/>
        <v>25.9</v>
      </c>
      <c r="O59" s="82">
        <f>IF(N59="","",N59+O58)</f>
        <v>83</v>
      </c>
    </row>
    <row r="60" spans="1:15" x14ac:dyDescent="0.25">
      <c r="A60" s="103"/>
      <c r="B60" s="110"/>
      <c r="C60" s="112"/>
      <c r="D60" s="80">
        <v>4</v>
      </c>
      <c r="E60" s="114" t="s">
        <v>112</v>
      </c>
      <c r="F60" s="82" t="str">
        <f>IF($E60="","",IF(ISNA(VLOOKUP($E60,DD!$A$2:$C$150,2,0)),"NO SUCH DIVE",VLOOKUP($E60,DD!$A$2:$C$150,2,0)))</f>
        <v>Back somersault tuck</v>
      </c>
      <c r="G60" s="80">
        <f>IF($E60="","",IF(ISNA(VLOOKUP($E60,DD!$A$2:$C$150,3,0)),"",VLOOKUP($E60,DD!$A$2:$C$150,3,0)))</f>
        <v>1.5</v>
      </c>
      <c r="H60" s="116">
        <v>6</v>
      </c>
      <c r="I60" s="116">
        <v>6</v>
      </c>
      <c r="J60" s="116">
        <v>6</v>
      </c>
      <c r="K60" s="116">
        <v>6</v>
      </c>
      <c r="L60" s="116">
        <v>5.5</v>
      </c>
      <c r="M60" s="81"/>
      <c r="N60" s="82">
        <f t="shared" si="1"/>
        <v>27</v>
      </c>
      <c r="O60" s="82">
        <f>IF(N60="","",N60+O59)</f>
        <v>110</v>
      </c>
    </row>
    <row r="61" spans="1:15" x14ac:dyDescent="0.25">
      <c r="A61" s="103"/>
      <c r="B61" s="110"/>
      <c r="C61" s="118"/>
      <c r="D61" s="80">
        <v>5</v>
      </c>
      <c r="E61" s="114" t="s">
        <v>155</v>
      </c>
      <c r="F61" s="82" t="str">
        <f>IF($E61="","",IF(ISNA(VLOOKUP($E61,DD!$A$2:$C$150,2,0)),"NO SUCH DIVE",VLOOKUP($E61,DD!$A$2:$C$150,2,0)))</f>
        <v>Front  1 ½ somersault tuck</v>
      </c>
      <c r="G61" s="80">
        <f>IF($E61="","",IF(ISNA(VLOOKUP($E61,DD!$A$2:$C$150,3,0)),"",VLOOKUP($E61,DD!$A$2:$C$150,3,0)))</f>
        <v>1.6</v>
      </c>
      <c r="H61" s="116">
        <v>6.5</v>
      </c>
      <c r="I61" s="116">
        <v>6.5</v>
      </c>
      <c r="J61" s="116">
        <v>6.5</v>
      </c>
      <c r="K61" s="116">
        <v>5</v>
      </c>
      <c r="L61" s="116">
        <v>6</v>
      </c>
      <c r="M61" s="81"/>
      <c r="N61" s="82">
        <f t="shared" si="1"/>
        <v>30.400000000000002</v>
      </c>
      <c r="O61" s="85">
        <f>IF(N61="",0,N61+O60)</f>
        <v>140.4</v>
      </c>
    </row>
    <row r="62" spans="1:15" x14ac:dyDescent="0.25">
      <c r="A62" s="97">
        <v>13</v>
      </c>
      <c r="B62" s="109" t="s">
        <v>446</v>
      </c>
      <c r="C62" s="111"/>
      <c r="D62" s="46">
        <v>1</v>
      </c>
      <c r="E62" s="113" t="s">
        <v>139</v>
      </c>
      <c r="F62" s="45" t="str">
        <f>IF($E62="","",IF(ISNA(VLOOKUP($E62,DD!$A$2:$C$150,2,0)),"NO SUCH DIVE",VLOOKUP($E62,DD!$A$2:$C$150,2,0)))</f>
        <v>Front somersault pike</v>
      </c>
      <c r="G62" s="51">
        <f>IF($E62="","",IF(ISNA(VLOOKUP($E62,DD!$A$2:$C$150,3,0)),"",VLOOKUP($E62,DD!$A$2:$C$150,3,0)))</f>
        <v>1.5</v>
      </c>
      <c r="H62" s="115">
        <v>5.5</v>
      </c>
      <c r="I62" s="115">
        <v>6</v>
      </c>
      <c r="J62" s="115">
        <v>5</v>
      </c>
      <c r="K62" s="115">
        <v>6</v>
      </c>
      <c r="L62" s="115">
        <v>6</v>
      </c>
      <c r="M62" s="50"/>
      <c r="N62" s="45">
        <f t="shared" si="1"/>
        <v>26.25</v>
      </c>
      <c r="O62" s="45">
        <f>IF(N62="","",N62)</f>
        <v>26.25</v>
      </c>
    </row>
    <row r="63" spans="1:15" x14ac:dyDescent="0.25">
      <c r="A63" s="97"/>
      <c r="B63" s="109"/>
      <c r="C63" s="111"/>
      <c r="D63" s="46">
        <v>2</v>
      </c>
      <c r="E63" s="113" t="s">
        <v>145</v>
      </c>
      <c r="F63" s="45" t="str">
        <f>IF($E63="","",IF(ISNA(VLOOKUP($E63,DD!$A$2:$C$150,2,0)),"NO SUCH DIVE",VLOOKUP($E63,DD!$A$2:$C$150,2,0)))</f>
        <v>Front somersault ½ twist layout</v>
      </c>
      <c r="G63" s="51">
        <f>IF($E63="","",IF(ISNA(VLOOKUP($E63,DD!$A$2:$C$150,3,0)),"",VLOOKUP($E63,DD!$A$2:$C$150,3,0)))</f>
        <v>1.9</v>
      </c>
      <c r="H63" s="115">
        <v>5</v>
      </c>
      <c r="I63" s="115">
        <v>5</v>
      </c>
      <c r="J63" s="115">
        <v>5</v>
      </c>
      <c r="K63" s="115">
        <v>5.5</v>
      </c>
      <c r="L63" s="115">
        <v>5</v>
      </c>
      <c r="M63" s="50"/>
      <c r="N63" s="45">
        <f t="shared" si="1"/>
        <v>28.5</v>
      </c>
      <c r="O63" s="45">
        <f>IF(N63="","",N63+O62)</f>
        <v>54.75</v>
      </c>
    </row>
    <row r="64" spans="1:15" x14ac:dyDescent="0.25">
      <c r="A64" s="97"/>
      <c r="B64" s="109"/>
      <c r="C64" s="111"/>
      <c r="D64" s="46">
        <v>3</v>
      </c>
      <c r="E64" s="113" t="s">
        <v>161</v>
      </c>
      <c r="F64" s="45" t="str">
        <f>IF($E64="","",IF(ISNA(VLOOKUP($E64,DD!$A$2:$C$150,2,0)),"NO SUCH DIVE",VLOOKUP($E64,DD!$A$2:$C$150,2,0)))</f>
        <v>Inward dive pike</v>
      </c>
      <c r="G64" s="51">
        <f>IF($E64="","",IF(ISNA(VLOOKUP($E64,DD!$A$2:$C$150,3,0)),"",VLOOKUP($E64,DD!$A$2:$C$150,3,0)))</f>
        <v>1.5</v>
      </c>
      <c r="H64" s="115">
        <v>4</v>
      </c>
      <c r="I64" s="115">
        <v>5</v>
      </c>
      <c r="J64" s="115">
        <v>4</v>
      </c>
      <c r="K64" s="115">
        <v>5</v>
      </c>
      <c r="L64" s="115">
        <v>4.5</v>
      </c>
      <c r="M64" s="50"/>
      <c r="N64" s="45">
        <f t="shared" si="1"/>
        <v>20.25</v>
      </c>
      <c r="O64" s="45">
        <f>IF(N64="","",N64+O63)</f>
        <v>75</v>
      </c>
    </row>
    <row r="65" spans="1:15" x14ac:dyDescent="0.25">
      <c r="A65" s="97"/>
      <c r="B65" s="109"/>
      <c r="C65" s="111"/>
      <c r="D65" s="46">
        <v>4</v>
      </c>
      <c r="E65" s="113" t="s">
        <v>450</v>
      </c>
      <c r="F65" s="45" t="str">
        <f>IF($E65="","",IF(ISNA(VLOOKUP($E65,DD!$A$2:$C$150,2,0)),"NO SUCH DIVE",VLOOKUP($E65,DD!$A$2:$C$150,2,0)))</f>
        <v>Front somersault full twist free</v>
      </c>
      <c r="G65" s="46">
        <f>IF($E65="","",IF(ISNA(VLOOKUP($E65,DD!$A$2:$C$150,3,0)),"",VLOOKUP($E65,DD!$A$2:$C$150,3,0)))</f>
        <v>1.9</v>
      </c>
      <c r="H65" s="115">
        <v>3.5</v>
      </c>
      <c r="I65" s="115">
        <v>5</v>
      </c>
      <c r="J65" s="115">
        <v>5</v>
      </c>
      <c r="K65" s="115">
        <v>5.5</v>
      </c>
      <c r="L65" s="115">
        <v>4</v>
      </c>
      <c r="M65" s="50"/>
      <c r="N65" s="45">
        <f t="shared" si="1"/>
        <v>26.599999999999998</v>
      </c>
      <c r="O65" s="45">
        <f>IF(N65="","",N65+O64)</f>
        <v>101.6</v>
      </c>
    </row>
    <row r="66" spans="1:15" x14ac:dyDescent="0.25">
      <c r="A66" s="97"/>
      <c r="B66" s="109"/>
      <c r="C66" s="111"/>
      <c r="D66" s="46">
        <v>5</v>
      </c>
      <c r="E66" s="113" t="s">
        <v>155</v>
      </c>
      <c r="F66" s="45" t="str">
        <f>IF($E66="","",IF(ISNA(VLOOKUP($E66,DD!$A$2:$C$150,2,0)),"NO SUCH DIVE",VLOOKUP($E66,DD!$A$2:$C$150,2,0)))</f>
        <v>Front  1 ½ somersault tuck</v>
      </c>
      <c r="G66" s="46">
        <f>IF($E66="","",IF(ISNA(VLOOKUP($E66,DD!$A$2:$C$150,3,0)),"",VLOOKUP($E66,DD!$A$2:$C$150,3,0)))</f>
        <v>1.6</v>
      </c>
      <c r="H66" s="115">
        <v>6</v>
      </c>
      <c r="I66" s="115">
        <v>5.5</v>
      </c>
      <c r="J66" s="115">
        <v>6</v>
      </c>
      <c r="K66" s="115">
        <v>5.5</v>
      </c>
      <c r="L66" s="115">
        <v>5</v>
      </c>
      <c r="M66" s="50"/>
      <c r="N66" s="45">
        <f t="shared" ref="N66:N97" si="2">IF(G66="","",IF(COUNT(H66:L66)=3,IF(M66&lt;&gt;"",(SUM(H66:J66)-6)*G66,SUM(H66:J66)*G66),IF(M66&lt;&gt;"",(SUM(H66:L66)-MAX(H66:L66)-MIN(H66:L66)-6)*G66,(SUM(H66:L66)-MAX(H66:L66)-MIN(H66:L66))*G66)))</f>
        <v>27.200000000000003</v>
      </c>
      <c r="O66" s="54">
        <f>IF(N66="",0,N66+O65)</f>
        <v>128.80000000000001</v>
      </c>
    </row>
    <row r="67" spans="1:15" x14ac:dyDescent="0.25">
      <c r="A67" s="103">
        <v>14</v>
      </c>
      <c r="B67" s="108"/>
      <c r="C67" s="105"/>
      <c r="D67" s="80">
        <v>1</v>
      </c>
      <c r="E67" s="81"/>
      <c r="F67" s="82" t="str">
        <f>IF($E67="","",IF(ISNA(VLOOKUP($E67,DD!$A$2:$C$150,2,0)),"NO SUCH DIVE",VLOOKUP($E67,DD!$A$2:$C$150,2,0)))</f>
        <v/>
      </c>
      <c r="G67" s="83" t="str">
        <f>IF($E67="","",IF(ISNA(VLOOKUP($E67,DD!$A$2:$C$150,3,0)),"",VLOOKUP($E67,DD!$A$2:$C$150,3,0)))</f>
        <v/>
      </c>
      <c r="H67" s="84"/>
      <c r="I67" s="84"/>
      <c r="J67" s="84"/>
      <c r="K67" s="84"/>
      <c r="L67" s="84"/>
      <c r="M67" s="81"/>
      <c r="N67" s="82" t="str">
        <f t="shared" si="2"/>
        <v/>
      </c>
      <c r="O67" s="82" t="str">
        <f>IF(N67="","",N67)</f>
        <v/>
      </c>
    </row>
    <row r="68" spans="1:15" x14ac:dyDescent="0.25">
      <c r="A68" s="103"/>
      <c r="B68" s="108"/>
      <c r="C68" s="105"/>
      <c r="D68" s="80">
        <v>2</v>
      </c>
      <c r="E68" s="86"/>
      <c r="F68" s="82" t="str">
        <f>IF($E68="","",IF(ISNA(VLOOKUP($E68,DD!$A$2:$C$150,2,0)),"NO SUCH DIVE",VLOOKUP($E68,DD!$A$2:$C$150,2,0)))</f>
        <v/>
      </c>
      <c r="G68" s="83" t="str">
        <f>IF($E68="","",IF(ISNA(VLOOKUP($E68,DD!$A$2:$C$150,3,0)),"",VLOOKUP($E68,DD!$A$2:$C$150,3,0)))</f>
        <v/>
      </c>
      <c r="H68" s="84"/>
      <c r="I68" s="84"/>
      <c r="J68" s="84"/>
      <c r="K68" s="84"/>
      <c r="L68" s="84"/>
      <c r="M68" s="81"/>
      <c r="N68" s="82" t="str">
        <f t="shared" si="2"/>
        <v/>
      </c>
      <c r="O68" s="82" t="str">
        <f>IF(N68="","",N68+O67)</f>
        <v/>
      </c>
    </row>
    <row r="69" spans="1:15" x14ac:dyDescent="0.25">
      <c r="A69" s="103"/>
      <c r="B69" s="108"/>
      <c r="C69" s="105"/>
      <c r="D69" s="80">
        <v>3</v>
      </c>
      <c r="E69" s="86"/>
      <c r="F69" s="82" t="str">
        <f>IF($E69="","",IF(ISNA(VLOOKUP($E69,DD!$A$2:$C$150,2,0)),"NO SUCH DIVE",VLOOKUP($E69,DD!$A$2:$C$150,2,0)))</f>
        <v/>
      </c>
      <c r="G69" s="83" t="str">
        <f>IF($E69="","",IF(ISNA(VLOOKUP($E69,DD!$A$2:$C$150,3,0)),"",VLOOKUP($E69,DD!$A$2:$C$150,3,0)))</f>
        <v/>
      </c>
      <c r="H69" s="84"/>
      <c r="I69" s="84"/>
      <c r="J69" s="84"/>
      <c r="K69" s="84"/>
      <c r="L69" s="84"/>
      <c r="M69" s="81"/>
      <c r="N69" s="82" t="str">
        <f t="shared" si="2"/>
        <v/>
      </c>
      <c r="O69" s="82" t="str">
        <f>IF(N69="","",N69+O68)</f>
        <v/>
      </c>
    </row>
    <row r="70" spans="1:15" x14ac:dyDescent="0.25">
      <c r="A70" s="103"/>
      <c r="B70" s="108"/>
      <c r="C70" s="105"/>
      <c r="D70" s="80">
        <v>4</v>
      </c>
      <c r="E70" s="86"/>
      <c r="F70" s="82" t="str">
        <f>IF($E70="","",IF(ISNA(VLOOKUP($E70,DD!$A$2:$C$150,2,0)),"NO SUCH DIVE",VLOOKUP($E70,DD!$A$2:$C$150,2,0)))</f>
        <v/>
      </c>
      <c r="G70" s="80" t="str">
        <f>IF($E70="","",IF(ISNA(VLOOKUP($E70,DD!$A$2:$C$150,3,0)),"",VLOOKUP($E70,DD!$A$2:$C$150,3,0)))</f>
        <v/>
      </c>
      <c r="H70" s="84"/>
      <c r="I70" s="84"/>
      <c r="J70" s="84"/>
      <c r="K70" s="84"/>
      <c r="L70" s="84"/>
      <c r="M70" s="81"/>
      <c r="N70" s="82" t="str">
        <f t="shared" si="2"/>
        <v/>
      </c>
      <c r="O70" s="82" t="str">
        <f>IF(N70="","",N70+O69)</f>
        <v/>
      </c>
    </row>
    <row r="71" spans="1:15" x14ac:dyDescent="0.25">
      <c r="A71" s="103"/>
      <c r="B71" s="108"/>
      <c r="C71" s="105"/>
      <c r="D71" s="80">
        <v>5</v>
      </c>
      <c r="E71" s="86"/>
      <c r="F71" s="82" t="str">
        <f>IF($E71="","",IF(ISNA(VLOOKUP($E71,DD!$A$2:$C$150,2,0)),"NO SUCH DIVE",VLOOKUP($E71,DD!$A$2:$C$150,2,0)))</f>
        <v/>
      </c>
      <c r="G71" s="80" t="str">
        <f>IF($E71="","",IF(ISNA(VLOOKUP($E71,DD!$A$2:$C$150,3,0)),"",VLOOKUP($E71,DD!$A$2:$C$150,3,0)))</f>
        <v/>
      </c>
      <c r="H71" s="84"/>
      <c r="I71" s="84"/>
      <c r="J71" s="84"/>
      <c r="K71" s="84"/>
      <c r="L71" s="84"/>
      <c r="M71" s="81"/>
      <c r="N71" s="82" t="str">
        <f t="shared" si="2"/>
        <v/>
      </c>
      <c r="O71" s="85">
        <f>IF(N71="",0,N71+O70)</f>
        <v>0</v>
      </c>
    </row>
    <row r="72" spans="1:15" x14ac:dyDescent="0.25">
      <c r="A72" s="97">
        <v>15</v>
      </c>
      <c r="B72" s="107"/>
      <c r="C72" s="106"/>
      <c r="D72" s="46">
        <v>1</v>
      </c>
      <c r="E72" s="50"/>
      <c r="F72" s="45" t="str">
        <f>IF($E72="","",IF(ISNA(VLOOKUP($E72,DD!$A$2:$C$150,2,0)),"NO SUCH DIVE",VLOOKUP($E72,DD!$A$2:$C$150,2,0)))</f>
        <v/>
      </c>
      <c r="G72" s="51" t="str">
        <f>IF($E72="","",IF(ISNA(VLOOKUP($E72,DD!$A$2:$C$150,3,0)),"",VLOOKUP($E72,DD!$A$2:$C$150,3,0)))</f>
        <v/>
      </c>
      <c r="H72" s="52"/>
      <c r="I72" s="52"/>
      <c r="J72" s="52"/>
      <c r="K72" s="52"/>
      <c r="L72" s="52"/>
      <c r="M72" s="50"/>
      <c r="N72" s="45" t="str">
        <f t="shared" si="2"/>
        <v/>
      </c>
      <c r="O72" s="45" t="str">
        <f>IF(N72="","",N72)</f>
        <v/>
      </c>
    </row>
    <row r="73" spans="1:15" x14ac:dyDescent="0.25">
      <c r="A73" s="97"/>
      <c r="B73" s="107"/>
      <c r="C73" s="106"/>
      <c r="D73" s="46">
        <v>2</v>
      </c>
      <c r="E73" s="62"/>
      <c r="F73" s="45" t="str">
        <f>IF($E73="","",IF(ISNA(VLOOKUP($E73,DD!$A$2:$C$150,2,0)),"NO SUCH DIVE",VLOOKUP($E73,DD!$A$2:$C$150,2,0)))</f>
        <v/>
      </c>
      <c r="G73" s="51" t="str">
        <f>IF($E73="","",IF(ISNA(VLOOKUP($E73,DD!$A$2:$C$150,3,0)),"",VLOOKUP($E73,DD!$A$2:$C$150,3,0)))</f>
        <v/>
      </c>
      <c r="H73" s="52"/>
      <c r="I73" s="52"/>
      <c r="J73" s="52"/>
      <c r="K73" s="52"/>
      <c r="L73" s="52"/>
      <c r="M73" s="50"/>
      <c r="N73" s="45" t="str">
        <f t="shared" si="2"/>
        <v/>
      </c>
      <c r="O73" s="45" t="str">
        <f>IF(N73="","",N73+O72)</f>
        <v/>
      </c>
    </row>
    <row r="74" spans="1:15" x14ac:dyDescent="0.25">
      <c r="A74" s="97"/>
      <c r="B74" s="107"/>
      <c r="C74" s="106"/>
      <c r="D74" s="46">
        <v>3</v>
      </c>
      <c r="E74" s="62"/>
      <c r="F74" s="45" t="str">
        <f>IF($E74="","",IF(ISNA(VLOOKUP($E74,DD!$A$2:$C$150,2,0)),"NO SUCH DIVE",VLOOKUP($E74,DD!$A$2:$C$150,2,0)))</f>
        <v/>
      </c>
      <c r="G74" s="51" t="str">
        <f>IF($E74="","",IF(ISNA(VLOOKUP($E74,DD!$A$2:$C$150,3,0)),"",VLOOKUP($E74,DD!$A$2:$C$150,3,0)))</f>
        <v/>
      </c>
      <c r="H74" s="52"/>
      <c r="I74" s="52"/>
      <c r="J74" s="52"/>
      <c r="K74" s="52"/>
      <c r="L74" s="52"/>
      <c r="M74" s="50"/>
      <c r="N74" s="45" t="str">
        <f t="shared" si="2"/>
        <v/>
      </c>
      <c r="O74" s="45" t="str">
        <f>IF(N74="","",N74+O73)</f>
        <v/>
      </c>
    </row>
    <row r="75" spans="1:15" ht="15" customHeight="1" x14ac:dyDescent="0.25">
      <c r="A75" s="97"/>
      <c r="B75" s="107"/>
      <c r="C75" s="106"/>
      <c r="D75" s="46">
        <v>4</v>
      </c>
      <c r="E75" s="62"/>
      <c r="F75" s="45" t="str">
        <f>IF($E75="","",IF(ISNA(VLOOKUP($E75,DD!$A$2:$C$150,2,0)),"NO SUCH DIVE",VLOOKUP($E75,DD!$A$2:$C$150,2,0)))</f>
        <v/>
      </c>
      <c r="G75" s="46" t="str">
        <f>IF($E75="","",IF(ISNA(VLOOKUP($E75,DD!$A$2:$C$150,3,0)),"",VLOOKUP($E75,DD!$A$2:$C$150,3,0)))</f>
        <v/>
      </c>
      <c r="H75" s="52"/>
      <c r="I75" s="52"/>
      <c r="J75" s="52"/>
      <c r="K75" s="52"/>
      <c r="L75" s="52"/>
      <c r="M75" s="50"/>
      <c r="N75" s="45" t="str">
        <f t="shared" si="2"/>
        <v/>
      </c>
      <c r="O75" s="45" t="str">
        <f>IF(N75="","",N75+O74)</f>
        <v/>
      </c>
    </row>
    <row r="76" spans="1:15" x14ac:dyDescent="0.25">
      <c r="A76" s="97"/>
      <c r="B76" s="107"/>
      <c r="C76" s="106"/>
      <c r="D76" s="46">
        <v>5</v>
      </c>
      <c r="E76" s="62"/>
      <c r="F76" s="45" t="str">
        <f>IF($E76="","",IF(ISNA(VLOOKUP($E76,DD!$A$2:$C$150,2,0)),"NO SUCH DIVE",VLOOKUP($E76,DD!$A$2:$C$150,2,0)))</f>
        <v/>
      </c>
      <c r="G76" s="46" t="str">
        <f>IF($E76="","",IF(ISNA(VLOOKUP($E76,DD!$A$2:$C$150,3,0)),"",VLOOKUP($E76,DD!$A$2:$C$150,3,0)))</f>
        <v/>
      </c>
      <c r="H76" s="52"/>
      <c r="I76" s="52"/>
      <c r="J76" s="52"/>
      <c r="K76" s="52"/>
      <c r="L76" s="52"/>
      <c r="M76" s="50"/>
      <c r="N76" s="45" t="str">
        <f t="shared" si="2"/>
        <v/>
      </c>
      <c r="O76" s="54">
        <f>IF(N76="",0,N76+O75)</f>
        <v>0</v>
      </c>
    </row>
    <row r="77" spans="1:15" x14ac:dyDescent="0.25">
      <c r="A77" s="103">
        <v>16</v>
      </c>
      <c r="B77" s="108"/>
      <c r="C77" s="105"/>
      <c r="D77" s="80">
        <v>1</v>
      </c>
      <c r="E77" s="81"/>
      <c r="F77" s="82" t="str">
        <f>IF($E77="","",IF(ISNA(VLOOKUP($E77,DD!$A$2:$C$150,2,0)),"NO SUCH DIVE",VLOOKUP($E77,DD!$A$2:$C$150,2,0)))</f>
        <v/>
      </c>
      <c r="G77" s="83" t="str">
        <f>IF($E77="","",IF(ISNA(VLOOKUP($E77,DD!$A$2:$C$150,3,0)),"",VLOOKUP($E77,DD!$A$2:$C$150,3,0)))</f>
        <v/>
      </c>
      <c r="H77" s="84"/>
      <c r="I77" s="84"/>
      <c r="J77" s="84"/>
      <c r="K77" s="84"/>
      <c r="L77" s="84"/>
      <c r="M77" s="81"/>
      <c r="N77" s="82" t="str">
        <f t="shared" si="2"/>
        <v/>
      </c>
      <c r="O77" s="82" t="str">
        <f>IF(N77="","",N77)</f>
        <v/>
      </c>
    </row>
    <row r="78" spans="1:15" x14ac:dyDescent="0.25">
      <c r="A78" s="103"/>
      <c r="B78" s="108"/>
      <c r="C78" s="105"/>
      <c r="D78" s="80">
        <v>2</v>
      </c>
      <c r="E78" s="86"/>
      <c r="F78" s="82" t="str">
        <f>IF($E78="","",IF(ISNA(VLOOKUP($E78,DD!$A$2:$C$150,2,0)),"NO SUCH DIVE",VLOOKUP($E78,DD!$A$2:$C$150,2,0)))</f>
        <v/>
      </c>
      <c r="G78" s="83" t="str">
        <f>IF($E78="","",IF(ISNA(VLOOKUP($E78,DD!$A$2:$C$150,3,0)),"",VLOOKUP($E78,DD!$A$2:$C$150,3,0)))</f>
        <v/>
      </c>
      <c r="H78" s="84"/>
      <c r="I78" s="84"/>
      <c r="J78" s="84"/>
      <c r="K78" s="84"/>
      <c r="L78" s="84"/>
      <c r="M78" s="81"/>
      <c r="N78" s="82" t="str">
        <f t="shared" si="2"/>
        <v/>
      </c>
      <c r="O78" s="82" t="str">
        <f>IF(N78="","",N78+O77)</f>
        <v/>
      </c>
    </row>
    <row r="79" spans="1:15" x14ac:dyDescent="0.25">
      <c r="A79" s="103"/>
      <c r="B79" s="108"/>
      <c r="C79" s="105"/>
      <c r="D79" s="80">
        <v>3</v>
      </c>
      <c r="E79" s="86"/>
      <c r="F79" s="82" t="str">
        <f>IF($E79="","",IF(ISNA(VLOOKUP($E79,DD!$A$2:$C$150,2,0)),"NO SUCH DIVE",VLOOKUP($E79,DD!$A$2:$C$150,2,0)))</f>
        <v/>
      </c>
      <c r="G79" s="83" t="str">
        <f>IF($E79="","",IF(ISNA(VLOOKUP($E79,DD!$A$2:$C$150,3,0)),"",VLOOKUP($E79,DD!$A$2:$C$150,3,0)))</f>
        <v/>
      </c>
      <c r="H79" s="84"/>
      <c r="I79" s="84"/>
      <c r="J79" s="84"/>
      <c r="K79" s="84"/>
      <c r="L79" s="84"/>
      <c r="M79" s="81"/>
      <c r="N79" s="82" t="str">
        <f t="shared" si="2"/>
        <v/>
      </c>
      <c r="O79" s="82" t="str">
        <f>IF(N79="","",N79+O78)</f>
        <v/>
      </c>
    </row>
    <row r="80" spans="1:15" x14ac:dyDescent="0.25">
      <c r="A80" s="103"/>
      <c r="B80" s="108"/>
      <c r="C80" s="105"/>
      <c r="D80" s="80">
        <v>4</v>
      </c>
      <c r="E80" s="86"/>
      <c r="F80" s="82" t="str">
        <f>IF($E80="","",IF(ISNA(VLOOKUP($E80,DD!$A$2:$C$150,2,0)),"NO SUCH DIVE",VLOOKUP($E80,DD!$A$2:$C$150,2,0)))</f>
        <v/>
      </c>
      <c r="G80" s="80" t="str">
        <f>IF($E80="","",IF(ISNA(VLOOKUP($E80,DD!$A$2:$C$150,3,0)),"",VLOOKUP($E80,DD!$A$2:$C$150,3,0)))</f>
        <v/>
      </c>
      <c r="H80" s="84"/>
      <c r="I80" s="84"/>
      <c r="J80" s="84"/>
      <c r="K80" s="84"/>
      <c r="L80" s="84"/>
      <c r="M80" s="81"/>
      <c r="N80" s="82" t="str">
        <f t="shared" si="2"/>
        <v/>
      </c>
      <c r="O80" s="82" t="str">
        <f>IF(N80="","",N80+O79)</f>
        <v/>
      </c>
    </row>
    <row r="81" spans="1:15" x14ac:dyDescent="0.25">
      <c r="A81" s="103"/>
      <c r="B81" s="108"/>
      <c r="C81" s="105"/>
      <c r="D81" s="80">
        <v>5</v>
      </c>
      <c r="E81" s="86"/>
      <c r="F81" s="82" t="str">
        <f>IF($E81="","",IF(ISNA(VLOOKUP($E81,DD!$A$2:$C$150,2,0)),"NO SUCH DIVE",VLOOKUP($E81,DD!$A$2:$C$150,2,0)))</f>
        <v/>
      </c>
      <c r="G81" s="80" t="str">
        <f>IF($E81="","",IF(ISNA(VLOOKUP($E81,DD!$A$2:$C$150,3,0)),"",VLOOKUP($E81,DD!$A$2:$C$150,3,0)))</f>
        <v/>
      </c>
      <c r="H81" s="84"/>
      <c r="I81" s="84"/>
      <c r="J81" s="84"/>
      <c r="K81" s="84"/>
      <c r="L81" s="84"/>
      <c r="M81" s="81"/>
      <c r="N81" s="82" t="str">
        <f t="shared" si="2"/>
        <v/>
      </c>
      <c r="O81" s="85">
        <f>IF(N81="",0,N81+O80)</f>
        <v>0</v>
      </c>
    </row>
    <row r="82" spans="1:15" x14ac:dyDescent="0.25">
      <c r="A82" s="97">
        <v>17</v>
      </c>
      <c r="B82" s="107"/>
      <c r="C82" s="106"/>
      <c r="D82" s="46">
        <v>1</v>
      </c>
      <c r="E82" s="50"/>
      <c r="F82" s="45" t="str">
        <f>IF($E82="","",IF(ISNA(VLOOKUP($E82,DD!$A$2:$C$150,2,0)),"NO SUCH DIVE",VLOOKUP($E82,DD!$A$2:$C$150,2,0)))</f>
        <v/>
      </c>
      <c r="G82" s="51" t="str">
        <f>IF($E82="","",IF(ISNA(VLOOKUP($E82,DD!$A$2:$C$150,3,0)),"",VLOOKUP($E82,DD!$A$2:$C$150,3,0)))</f>
        <v/>
      </c>
      <c r="H82" s="52"/>
      <c r="I82" s="52"/>
      <c r="J82" s="52"/>
      <c r="K82" s="52"/>
      <c r="L82" s="52"/>
      <c r="M82" s="50"/>
      <c r="N82" s="45" t="str">
        <f t="shared" si="2"/>
        <v/>
      </c>
      <c r="O82" s="45" t="str">
        <f>IF(N82="","",N82)</f>
        <v/>
      </c>
    </row>
    <row r="83" spans="1:15" x14ac:dyDescent="0.25">
      <c r="A83" s="97"/>
      <c r="B83" s="107"/>
      <c r="C83" s="106"/>
      <c r="D83" s="46">
        <v>2</v>
      </c>
      <c r="E83" s="62"/>
      <c r="F83" s="45" t="str">
        <f>IF($E83="","",IF(ISNA(VLOOKUP($E83,DD!$A$2:$C$150,2,0)),"NO SUCH DIVE",VLOOKUP($E83,DD!$A$2:$C$150,2,0)))</f>
        <v/>
      </c>
      <c r="G83" s="51" t="str">
        <f>IF($E83="","",IF(ISNA(VLOOKUP($E83,DD!$A$2:$C$150,3,0)),"",VLOOKUP($E83,DD!$A$2:$C$150,3,0)))</f>
        <v/>
      </c>
      <c r="H83" s="52"/>
      <c r="I83" s="52"/>
      <c r="J83" s="52"/>
      <c r="K83" s="52"/>
      <c r="L83" s="52"/>
      <c r="M83" s="50"/>
      <c r="N83" s="45" t="str">
        <f t="shared" si="2"/>
        <v/>
      </c>
      <c r="O83" s="45" t="str">
        <f>IF(N83="","",N83+O82)</f>
        <v/>
      </c>
    </row>
    <row r="84" spans="1:15" x14ac:dyDescent="0.25">
      <c r="A84" s="97"/>
      <c r="B84" s="107"/>
      <c r="C84" s="106"/>
      <c r="D84" s="46">
        <v>3</v>
      </c>
      <c r="E84" s="62"/>
      <c r="F84" s="45" t="str">
        <f>IF($E84="","",IF(ISNA(VLOOKUP($E84,DD!$A$2:$C$150,2,0)),"NO SUCH DIVE",VLOOKUP($E84,DD!$A$2:$C$150,2,0)))</f>
        <v/>
      </c>
      <c r="G84" s="51" t="str">
        <f>IF($E84="","",IF(ISNA(VLOOKUP($E84,DD!$A$2:$C$150,3,0)),"",VLOOKUP($E84,DD!$A$2:$C$150,3,0)))</f>
        <v/>
      </c>
      <c r="H84" s="52"/>
      <c r="I84" s="52"/>
      <c r="J84" s="52"/>
      <c r="K84" s="52"/>
      <c r="L84" s="52"/>
      <c r="M84" s="50"/>
      <c r="N84" s="45" t="str">
        <f t="shared" si="2"/>
        <v/>
      </c>
      <c r="O84" s="45" t="str">
        <f>IF(N84="","",N84+O83)</f>
        <v/>
      </c>
    </row>
    <row r="85" spans="1:15" x14ac:dyDescent="0.25">
      <c r="A85" s="97"/>
      <c r="B85" s="107"/>
      <c r="C85" s="106"/>
      <c r="D85" s="46">
        <v>4</v>
      </c>
      <c r="E85" s="62"/>
      <c r="F85" s="45" t="str">
        <f>IF($E85="","",IF(ISNA(VLOOKUP($E85,DD!$A$2:$C$150,2,0)),"NO SUCH DIVE",VLOOKUP($E85,DD!$A$2:$C$150,2,0)))</f>
        <v/>
      </c>
      <c r="G85" s="46" t="str">
        <f>IF($E85="","",IF(ISNA(VLOOKUP($E85,DD!$A$2:$C$150,3,0)),"",VLOOKUP($E85,DD!$A$2:$C$150,3,0)))</f>
        <v/>
      </c>
      <c r="H85" s="52"/>
      <c r="I85" s="52"/>
      <c r="J85" s="52"/>
      <c r="K85" s="52"/>
      <c r="L85" s="52"/>
      <c r="M85" s="50"/>
      <c r="N85" s="45" t="str">
        <f t="shared" si="2"/>
        <v/>
      </c>
      <c r="O85" s="45" t="str">
        <f>IF(N85="","",N85+O84)</f>
        <v/>
      </c>
    </row>
    <row r="86" spans="1:15" x14ac:dyDescent="0.25">
      <c r="A86" s="97"/>
      <c r="B86" s="107"/>
      <c r="C86" s="106"/>
      <c r="D86" s="46">
        <v>5</v>
      </c>
      <c r="E86" s="62"/>
      <c r="F86" s="45" t="str">
        <f>IF($E86="","",IF(ISNA(VLOOKUP($E86,DD!$A$2:$C$150,2,0)),"NO SUCH DIVE",VLOOKUP($E86,DD!$A$2:$C$150,2,0)))</f>
        <v/>
      </c>
      <c r="G86" s="46" t="str">
        <f>IF($E86="","",IF(ISNA(VLOOKUP($E86,DD!$A$2:$C$150,3,0)),"",VLOOKUP($E86,DD!$A$2:$C$150,3,0)))</f>
        <v/>
      </c>
      <c r="H86" s="52"/>
      <c r="I86" s="52"/>
      <c r="J86" s="52"/>
      <c r="K86" s="52"/>
      <c r="L86" s="52"/>
      <c r="M86" s="50"/>
      <c r="N86" s="45" t="str">
        <f t="shared" si="2"/>
        <v/>
      </c>
      <c r="O86" s="54">
        <f>IF(N86="",0,N86+O85)</f>
        <v>0</v>
      </c>
    </row>
    <row r="87" spans="1:15" x14ac:dyDescent="0.25">
      <c r="A87" s="103">
        <v>18</v>
      </c>
      <c r="B87" s="108"/>
      <c r="C87" s="105"/>
      <c r="D87" s="80">
        <v>1</v>
      </c>
      <c r="E87" s="81"/>
      <c r="F87" s="82" t="str">
        <f>IF($E87="","",IF(ISNA(VLOOKUP($E87,DD!$A$2:$C$150,2,0)),"NO SUCH DIVE",VLOOKUP($E87,DD!$A$2:$C$150,2,0)))</f>
        <v/>
      </c>
      <c r="G87" s="83" t="str">
        <f>IF($E87="","",IF(ISNA(VLOOKUP($E87,DD!$A$2:$C$150,3,0)),"",VLOOKUP($E87,DD!$A$2:$C$150,3,0)))</f>
        <v/>
      </c>
      <c r="H87" s="84"/>
      <c r="I87" s="84"/>
      <c r="J87" s="84"/>
      <c r="K87" s="84"/>
      <c r="L87" s="84"/>
      <c r="M87" s="81"/>
      <c r="N87" s="82" t="str">
        <f t="shared" si="2"/>
        <v/>
      </c>
      <c r="O87" s="82" t="str">
        <f>IF(N87="","",N87)</f>
        <v/>
      </c>
    </row>
    <row r="88" spans="1:15" x14ac:dyDescent="0.25">
      <c r="A88" s="103"/>
      <c r="B88" s="108"/>
      <c r="C88" s="105"/>
      <c r="D88" s="80">
        <v>2</v>
      </c>
      <c r="E88" s="86"/>
      <c r="F88" s="82" t="str">
        <f>IF($E88="","",IF(ISNA(VLOOKUP($E88,DD!$A$2:$C$150,2,0)),"NO SUCH DIVE",VLOOKUP($E88,DD!$A$2:$C$150,2,0)))</f>
        <v/>
      </c>
      <c r="G88" s="83" t="str">
        <f>IF($E88="","",IF(ISNA(VLOOKUP($E88,DD!$A$2:$C$150,3,0)),"",VLOOKUP($E88,DD!$A$2:$C$150,3,0)))</f>
        <v/>
      </c>
      <c r="H88" s="84"/>
      <c r="I88" s="84"/>
      <c r="J88" s="84"/>
      <c r="K88" s="84"/>
      <c r="L88" s="84"/>
      <c r="M88" s="81"/>
      <c r="N88" s="82" t="str">
        <f t="shared" si="2"/>
        <v/>
      </c>
      <c r="O88" s="82" t="str">
        <f>IF(N88="","",N88+O87)</f>
        <v/>
      </c>
    </row>
    <row r="89" spans="1:15" x14ac:dyDescent="0.25">
      <c r="A89" s="103"/>
      <c r="B89" s="108"/>
      <c r="C89" s="105"/>
      <c r="D89" s="80">
        <v>3</v>
      </c>
      <c r="E89" s="86"/>
      <c r="F89" s="82" t="str">
        <f>IF($E89="","",IF(ISNA(VLOOKUP($E89,DD!$A$2:$C$150,2,0)),"NO SUCH DIVE",VLOOKUP($E89,DD!$A$2:$C$150,2,0)))</f>
        <v/>
      </c>
      <c r="G89" s="83" t="str">
        <f>IF($E89="","",IF(ISNA(VLOOKUP($E89,DD!$A$2:$C$150,3,0)),"",VLOOKUP($E89,DD!$A$2:$C$150,3,0)))</f>
        <v/>
      </c>
      <c r="H89" s="84"/>
      <c r="I89" s="84"/>
      <c r="J89" s="84"/>
      <c r="K89" s="84"/>
      <c r="L89" s="84"/>
      <c r="M89" s="81"/>
      <c r="N89" s="82" t="str">
        <f t="shared" si="2"/>
        <v/>
      </c>
      <c r="O89" s="82" t="str">
        <f>IF(N89="","",N89+O88)</f>
        <v/>
      </c>
    </row>
    <row r="90" spans="1:15" x14ac:dyDescent="0.25">
      <c r="A90" s="103"/>
      <c r="B90" s="108"/>
      <c r="C90" s="105"/>
      <c r="D90" s="80">
        <v>4</v>
      </c>
      <c r="E90" s="86"/>
      <c r="F90" s="82" t="str">
        <f>IF($E90="","",IF(ISNA(VLOOKUP($E90,DD!$A$2:$C$150,2,0)),"NO SUCH DIVE",VLOOKUP($E90,DD!$A$2:$C$150,2,0)))</f>
        <v/>
      </c>
      <c r="G90" s="80" t="str">
        <f>IF($E90="","",IF(ISNA(VLOOKUP($E90,DD!$A$2:$C$150,3,0)),"",VLOOKUP($E90,DD!$A$2:$C$150,3,0)))</f>
        <v/>
      </c>
      <c r="H90" s="84"/>
      <c r="I90" s="84"/>
      <c r="J90" s="84"/>
      <c r="K90" s="84"/>
      <c r="L90" s="84"/>
      <c r="M90" s="81"/>
      <c r="N90" s="82" t="str">
        <f t="shared" si="2"/>
        <v/>
      </c>
      <c r="O90" s="82" t="str">
        <f>IF(N90="","",N90+O89)</f>
        <v/>
      </c>
    </row>
    <row r="91" spans="1:15" x14ac:dyDescent="0.25">
      <c r="A91" s="103"/>
      <c r="B91" s="108"/>
      <c r="C91" s="105"/>
      <c r="D91" s="80">
        <v>5</v>
      </c>
      <c r="E91" s="86"/>
      <c r="F91" s="82" t="str">
        <f>IF($E91="","",IF(ISNA(VLOOKUP($E91,DD!$A$2:$C$150,2,0)),"NO SUCH DIVE",VLOOKUP($E91,DD!$A$2:$C$150,2,0)))</f>
        <v/>
      </c>
      <c r="G91" s="80" t="str">
        <f>IF($E91="","",IF(ISNA(VLOOKUP($E91,DD!$A$2:$C$150,3,0)),"",VLOOKUP($E91,DD!$A$2:$C$150,3,0)))</f>
        <v/>
      </c>
      <c r="H91" s="84"/>
      <c r="I91" s="84"/>
      <c r="J91" s="84"/>
      <c r="K91" s="84"/>
      <c r="L91" s="84"/>
      <c r="M91" s="81"/>
      <c r="N91" s="82" t="str">
        <f t="shared" si="2"/>
        <v/>
      </c>
      <c r="O91" s="85">
        <f>IF(N91="",0,N91+O90)</f>
        <v>0</v>
      </c>
    </row>
    <row r="92" spans="1:15" x14ac:dyDescent="0.25">
      <c r="A92" s="97">
        <v>19</v>
      </c>
      <c r="B92" s="107"/>
      <c r="C92" s="106"/>
      <c r="D92" s="46">
        <v>1</v>
      </c>
      <c r="E92" s="50"/>
      <c r="F92" s="45" t="str">
        <f>IF($E92="","",IF(ISNA(VLOOKUP($E92,DD!$A$2:$C$150,2,0)),"NO SUCH DIVE",VLOOKUP($E92,DD!$A$2:$C$150,2,0)))</f>
        <v/>
      </c>
      <c r="G92" s="51" t="str">
        <f>IF($E92="","",IF(ISNA(VLOOKUP($E92,DD!$A$2:$C$150,3,0)),"",VLOOKUP($E92,DD!$A$2:$C$150,3,0)))</f>
        <v/>
      </c>
      <c r="H92" s="52"/>
      <c r="I92" s="52"/>
      <c r="J92" s="52"/>
      <c r="K92" s="52"/>
      <c r="L92" s="52"/>
      <c r="M92" s="50"/>
      <c r="N92" s="45" t="str">
        <f t="shared" si="2"/>
        <v/>
      </c>
      <c r="O92" s="45" t="str">
        <f>IF(N92="","",N92)</f>
        <v/>
      </c>
    </row>
    <row r="93" spans="1:15" x14ac:dyDescent="0.25">
      <c r="A93" s="97"/>
      <c r="B93" s="107"/>
      <c r="C93" s="106"/>
      <c r="D93" s="46">
        <v>2</v>
      </c>
      <c r="E93" s="62"/>
      <c r="F93" s="45" t="str">
        <f>IF($E93="","",IF(ISNA(VLOOKUP($E93,DD!$A$2:$C$150,2,0)),"NO SUCH DIVE",VLOOKUP($E93,DD!$A$2:$C$150,2,0)))</f>
        <v/>
      </c>
      <c r="G93" s="51" t="str">
        <f>IF($E93="","",IF(ISNA(VLOOKUP($E93,DD!$A$2:$C$150,3,0)),"",VLOOKUP($E93,DD!$A$2:$C$150,3,0)))</f>
        <v/>
      </c>
      <c r="H93" s="52"/>
      <c r="I93" s="52"/>
      <c r="J93" s="52"/>
      <c r="K93" s="52"/>
      <c r="L93" s="52"/>
      <c r="M93" s="50"/>
      <c r="N93" s="45" t="str">
        <f t="shared" si="2"/>
        <v/>
      </c>
      <c r="O93" s="45" t="str">
        <f>IF(N93="","",N93+O92)</f>
        <v/>
      </c>
    </row>
    <row r="94" spans="1:15" x14ac:dyDescent="0.25">
      <c r="A94" s="97"/>
      <c r="B94" s="107"/>
      <c r="C94" s="106"/>
      <c r="D94" s="46">
        <v>3</v>
      </c>
      <c r="E94" s="62"/>
      <c r="F94" s="45" t="str">
        <f>IF($E94="","",IF(ISNA(VLOOKUP($E94,DD!$A$2:$C$150,2,0)),"NO SUCH DIVE",VLOOKUP($E94,DD!$A$2:$C$150,2,0)))</f>
        <v/>
      </c>
      <c r="G94" s="51" t="str">
        <f>IF($E94="","",IF(ISNA(VLOOKUP($E94,DD!$A$2:$C$150,3,0)),"",VLOOKUP($E94,DD!$A$2:$C$150,3,0)))</f>
        <v/>
      </c>
      <c r="H94" s="52"/>
      <c r="I94" s="52"/>
      <c r="J94" s="52"/>
      <c r="K94" s="52"/>
      <c r="L94" s="52"/>
      <c r="M94" s="50"/>
      <c r="N94" s="45" t="str">
        <f t="shared" si="2"/>
        <v/>
      </c>
      <c r="O94" s="45" t="str">
        <f>IF(N94="","",N94+O93)</f>
        <v/>
      </c>
    </row>
    <row r="95" spans="1:15" x14ac:dyDescent="0.25">
      <c r="A95" s="97"/>
      <c r="B95" s="107"/>
      <c r="C95" s="106"/>
      <c r="D95" s="46">
        <v>4</v>
      </c>
      <c r="E95" s="62"/>
      <c r="F95" s="45" t="str">
        <f>IF($E95="","",IF(ISNA(VLOOKUP($E95,DD!$A$2:$C$150,2,0)),"NO SUCH DIVE",VLOOKUP($E95,DD!$A$2:$C$150,2,0)))</f>
        <v/>
      </c>
      <c r="G95" s="46" t="str">
        <f>IF($E95="","",IF(ISNA(VLOOKUP($E95,DD!$A$2:$C$150,3,0)),"",VLOOKUP($E95,DD!$A$2:$C$150,3,0)))</f>
        <v/>
      </c>
      <c r="H95" s="52"/>
      <c r="I95" s="52"/>
      <c r="J95" s="52"/>
      <c r="K95" s="52"/>
      <c r="L95" s="52"/>
      <c r="M95" s="50"/>
      <c r="N95" s="45" t="str">
        <f t="shared" si="2"/>
        <v/>
      </c>
      <c r="O95" s="45" t="str">
        <f>IF(N95="","",N95+O94)</f>
        <v/>
      </c>
    </row>
    <row r="96" spans="1:15" x14ac:dyDescent="0.25">
      <c r="A96" s="97"/>
      <c r="B96" s="107"/>
      <c r="C96" s="106"/>
      <c r="D96" s="46">
        <v>5</v>
      </c>
      <c r="E96" s="62"/>
      <c r="F96" s="45" t="str">
        <f>IF($E96="","",IF(ISNA(VLOOKUP($E96,DD!$A$2:$C$150,2,0)),"NO SUCH DIVE",VLOOKUP($E96,DD!$A$2:$C$150,2,0)))</f>
        <v/>
      </c>
      <c r="G96" s="46" t="str">
        <f>IF($E96="","",IF(ISNA(VLOOKUP($E96,DD!$A$2:$C$150,3,0)),"",VLOOKUP($E96,DD!$A$2:$C$150,3,0)))</f>
        <v/>
      </c>
      <c r="H96" s="52"/>
      <c r="I96" s="52"/>
      <c r="J96" s="52"/>
      <c r="K96" s="52"/>
      <c r="L96" s="52"/>
      <c r="M96" s="50"/>
      <c r="N96" s="45" t="str">
        <f t="shared" si="2"/>
        <v/>
      </c>
      <c r="O96" s="54">
        <f>IF(N96="",0,N96+O95)</f>
        <v>0</v>
      </c>
    </row>
    <row r="97" spans="1:15" x14ac:dyDescent="0.25">
      <c r="A97" s="103">
        <v>20</v>
      </c>
      <c r="B97" s="108"/>
      <c r="C97" s="105"/>
      <c r="D97" s="80">
        <v>1</v>
      </c>
      <c r="E97" s="81"/>
      <c r="F97" s="82" t="str">
        <f>IF($E97="","",IF(ISNA(VLOOKUP($E97,DD!$A$2:$C$150,2,0)),"NO SUCH DIVE",VLOOKUP($E97,DD!$A$2:$C$150,2,0)))</f>
        <v/>
      </c>
      <c r="G97" s="83" t="str">
        <f>IF($E97="","",IF(ISNA(VLOOKUP($E97,DD!$A$2:$C$150,3,0)),"",VLOOKUP($E97,DD!$A$2:$C$150,3,0)))</f>
        <v/>
      </c>
      <c r="H97" s="84"/>
      <c r="I97" s="84"/>
      <c r="J97" s="84"/>
      <c r="K97" s="84"/>
      <c r="L97" s="84"/>
      <c r="M97" s="81"/>
      <c r="N97" s="82" t="str">
        <f t="shared" si="2"/>
        <v/>
      </c>
      <c r="O97" s="82" t="str">
        <f>IF(N97="","",N97)</f>
        <v/>
      </c>
    </row>
    <row r="98" spans="1:15" x14ac:dyDescent="0.25">
      <c r="A98" s="103"/>
      <c r="B98" s="108"/>
      <c r="C98" s="105"/>
      <c r="D98" s="80">
        <v>2</v>
      </c>
      <c r="E98" s="86"/>
      <c r="F98" s="82" t="str">
        <f>IF($E98="","",IF(ISNA(VLOOKUP($E98,DD!$A$2:$C$150,2,0)),"NO SUCH DIVE",VLOOKUP($E98,DD!$A$2:$C$150,2,0)))</f>
        <v/>
      </c>
      <c r="G98" s="83" t="str">
        <f>IF($E98="","",IF(ISNA(VLOOKUP($E98,DD!$A$2:$C$150,3,0)),"",VLOOKUP($E98,DD!$A$2:$C$150,3,0)))</f>
        <v/>
      </c>
      <c r="H98" s="84"/>
      <c r="I98" s="84"/>
      <c r="J98" s="84"/>
      <c r="K98" s="84"/>
      <c r="L98" s="84"/>
      <c r="M98" s="81"/>
      <c r="N98" s="82" t="str">
        <f t="shared" ref="N98:N121" si="3">IF(G98="","",IF(COUNT(H98:L98)=3,IF(M98&lt;&gt;"",(SUM(H98:J98)-6)*G98,SUM(H98:J98)*G98),IF(M98&lt;&gt;"",(SUM(H98:L98)-MAX(H98:L98)-MIN(H98:L98)-6)*G98,(SUM(H98:L98)-MAX(H98:L98)-MIN(H98:L98))*G98)))</f>
        <v/>
      </c>
      <c r="O98" s="82" t="str">
        <f>IF(N98="","",N98+O97)</f>
        <v/>
      </c>
    </row>
    <row r="99" spans="1:15" x14ac:dyDescent="0.25">
      <c r="A99" s="103"/>
      <c r="B99" s="108"/>
      <c r="C99" s="105"/>
      <c r="D99" s="80">
        <v>3</v>
      </c>
      <c r="E99" s="86"/>
      <c r="F99" s="82" t="str">
        <f>IF($E99="","",IF(ISNA(VLOOKUP($E99,DD!$A$2:$C$150,2,0)),"NO SUCH DIVE",VLOOKUP($E99,DD!$A$2:$C$150,2,0)))</f>
        <v/>
      </c>
      <c r="G99" s="83" t="str">
        <f>IF($E99="","",IF(ISNA(VLOOKUP($E99,DD!$A$2:$C$150,3,0)),"",VLOOKUP($E99,DD!$A$2:$C$150,3,0)))</f>
        <v/>
      </c>
      <c r="H99" s="84"/>
      <c r="I99" s="84"/>
      <c r="J99" s="84"/>
      <c r="K99" s="84"/>
      <c r="L99" s="84"/>
      <c r="M99" s="81"/>
      <c r="N99" s="82" t="str">
        <f t="shared" si="3"/>
        <v/>
      </c>
      <c r="O99" s="82" t="str">
        <f>IF(N99="","",N99+O98)</f>
        <v/>
      </c>
    </row>
    <row r="100" spans="1:15" x14ac:dyDescent="0.25">
      <c r="A100" s="103"/>
      <c r="B100" s="108"/>
      <c r="C100" s="105"/>
      <c r="D100" s="80">
        <v>4</v>
      </c>
      <c r="E100" s="86"/>
      <c r="F100" s="82" t="str">
        <f>IF($E100="","",IF(ISNA(VLOOKUP($E100,DD!$A$2:$C$150,2,0)),"NO SUCH DIVE",VLOOKUP($E100,DD!$A$2:$C$150,2,0)))</f>
        <v/>
      </c>
      <c r="G100" s="80" t="str">
        <f>IF($E100="","",IF(ISNA(VLOOKUP($E100,DD!$A$2:$C$150,3,0)),"",VLOOKUP($E100,DD!$A$2:$C$150,3,0)))</f>
        <v/>
      </c>
      <c r="H100" s="84"/>
      <c r="I100" s="84"/>
      <c r="J100" s="84"/>
      <c r="K100" s="84"/>
      <c r="L100" s="84"/>
      <c r="M100" s="81"/>
      <c r="N100" s="82" t="str">
        <f t="shared" si="3"/>
        <v/>
      </c>
      <c r="O100" s="82" t="str">
        <f>IF(N100="","",N100+O99)</f>
        <v/>
      </c>
    </row>
    <row r="101" spans="1:15" x14ac:dyDescent="0.25">
      <c r="A101" s="103"/>
      <c r="B101" s="108"/>
      <c r="C101" s="105"/>
      <c r="D101" s="80">
        <v>5</v>
      </c>
      <c r="E101" s="86"/>
      <c r="F101" s="82" t="str">
        <f>IF($E101="","",IF(ISNA(VLOOKUP($E101,DD!$A$2:$C$150,2,0)),"NO SUCH DIVE",VLOOKUP($E101,DD!$A$2:$C$150,2,0)))</f>
        <v/>
      </c>
      <c r="G101" s="80" t="str">
        <f>IF($E101="","",IF(ISNA(VLOOKUP($E101,DD!$A$2:$C$150,3,0)),"",VLOOKUP($E101,DD!$A$2:$C$150,3,0)))</f>
        <v/>
      </c>
      <c r="H101" s="84"/>
      <c r="I101" s="84"/>
      <c r="J101" s="84"/>
      <c r="K101" s="84"/>
      <c r="L101" s="84"/>
      <c r="M101" s="81"/>
      <c r="N101" s="82" t="str">
        <f t="shared" si="3"/>
        <v/>
      </c>
      <c r="O101" s="85">
        <f>IF(N101="",0,N101+O100)</f>
        <v>0</v>
      </c>
    </row>
    <row r="102" spans="1:15" x14ac:dyDescent="0.25">
      <c r="A102" s="97">
        <v>21</v>
      </c>
      <c r="B102" s="107"/>
      <c r="C102" s="106"/>
      <c r="D102" s="46">
        <v>1</v>
      </c>
      <c r="E102" s="50"/>
      <c r="F102" s="45" t="str">
        <f>IF($E102="","",IF(ISNA(VLOOKUP($E102,DD!$A$2:$C$150,2,0)),"NO SUCH DIVE",VLOOKUP($E102,DD!$A$2:$C$150,2,0)))</f>
        <v/>
      </c>
      <c r="G102" s="51" t="str">
        <f>IF($E102="","",IF(ISNA(VLOOKUP($E102,DD!$A$2:$C$150,3,0)),"",VLOOKUP($E102,DD!$A$2:$C$150,3,0)))</f>
        <v/>
      </c>
      <c r="H102" s="52"/>
      <c r="I102" s="52"/>
      <c r="J102" s="52"/>
      <c r="K102" s="52"/>
      <c r="L102" s="52"/>
      <c r="M102" s="50"/>
      <c r="N102" s="45" t="str">
        <f t="shared" si="3"/>
        <v/>
      </c>
      <c r="O102" s="45" t="str">
        <f>IF(N102="","",N102)</f>
        <v/>
      </c>
    </row>
    <row r="103" spans="1:15" x14ac:dyDescent="0.25">
      <c r="A103" s="97"/>
      <c r="B103" s="107"/>
      <c r="C103" s="106"/>
      <c r="D103" s="46">
        <v>2</v>
      </c>
      <c r="E103" s="62"/>
      <c r="F103" s="45" t="str">
        <f>IF($E103="","",IF(ISNA(VLOOKUP($E103,DD!$A$2:$C$150,2,0)),"NO SUCH DIVE",VLOOKUP($E103,DD!$A$2:$C$150,2,0)))</f>
        <v/>
      </c>
      <c r="G103" s="51" t="str">
        <f>IF($E103="","",IF(ISNA(VLOOKUP($E103,DD!$A$2:$C$150,3,0)),"",VLOOKUP($E103,DD!$A$2:$C$150,3,0)))</f>
        <v/>
      </c>
      <c r="H103" s="52"/>
      <c r="I103" s="52"/>
      <c r="J103" s="52"/>
      <c r="K103" s="52"/>
      <c r="L103" s="52"/>
      <c r="M103" s="50"/>
      <c r="N103" s="45" t="str">
        <f t="shared" si="3"/>
        <v/>
      </c>
      <c r="O103" s="45" t="str">
        <f>IF(N103="","",N103+O102)</f>
        <v/>
      </c>
    </row>
    <row r="104" spans="1:15" x14ac:dyDescent="0.25">
      <c r="A104" s="97"/>
      <c r="B104" s="107"/>
      <c r="C104" s="106"/>
      <c r="D104" s="46">
        <v>3</v>
      </c>
      <c r="E104" s="62"/>
      <c r="F104" s="45" t="str">
        <f>IF($E104="","",IF(ISNA(VLOOKUP($E104,DD!$A$2:$C$150,2,0)),"NO SUCH DIVE",VLOOKUP($E104,DD!$A$2:$C$150,2,0)))</f>
        <v/>
      </c>
      <c r="G104" s="51" t="str">
        <f>IF($E104="","",IF(ISNA(VLOOKUP($E104,DD!$A$2:$C$150,3,0)),"",VLOOKUP($E104,DD!$A$2:$C$150,3,0)))</f>
        <v/>
      </c>
      <c r="H104" s="52"/>
      <c r="I104" s="52"/>
      <c r="J104" s="52"/>
      <c r="K104" s="52"/>
      <c r="L104" s="52"/>
      <c r="M104" s="50"/>
      <c r="N104" s="45" t="str">
        <f t="shared" si="3"/>
        <v/>
      </c>
      <c r="O104" s="45" t="str">
        <f>IF(N104="","",N104+O103)</f>
        <v/>
      </c>
    </row>
    <row r="105" spans="1:15" x14ac:dyDescent="0.25">
      <c r="A105" s="97"/>
      <c r="B105" s="107"/>
      <c r="C105" s="106"/>
      <c r="D105" s="46">
        <v>4</v>
      </c>
      <c r="E105" s="62"/>
      <c r="F105" s="45" t="str">
        <f>IF($E105="","",IF(ISNA(VLOOKUP($E105,DD!$A$2:$C$150,2,0)),"NO SUCH DIVE",VLOOKUP($E105,DD!$A$2:$C$150,2,0)))</f>
        <v/>
      </c>
      <c r="G105" s="46" t="str">
        <f>IF($E105="","",IF(ISNA(VLOOKUP($E105,DD!$A$2:$C$150,3,0)),"",VLOOKUP($E105,DD!$A$2:$C$150,3,0)))</f>
        <v/>
      </c>
      <c r="H105" s="52"/>
      <c r="I105" s="52"/>
      <c r="J105" s="52"/>
      <c r="K105" s="52"/>
      <c r="L105" s="52"/>
      <c r="M105" s="50"/>
      <c r="N105" s="45" t="str">
        <f t="shared" si="3"/>
        <v/>
      </c>
      <c r="O105" s="45" t="str">
        <f>IF(N105="","",N105+O104)</f>
        <v/>
      </c>
    </row>
    <row r="106" spans="1:15" x14ac:dyDescent="0.25">
      <c r="A106" s="97"/>
      <c r="B106" s="107"/>
      <c r="C106" s="106"/>
      <c r="D106" s="46">
        <v>5</v>
      </c>
      <c r="E106" s="62"/>
      <c r="F106" s="45" t="str">
        <f>IF($E106="","",IF(ISNA(VLOOKUP($E106,DD!$A$2:$C$150,2,0)),"NO SUCH DIVE",VLOOKUP($E106,DD!$A$2:$C$150,2,0)))</f>
        <v/>
      </c>
      <c r="G106" s="46" t="str">
        <f>IF($E106="","",IF(ISNA(VLOOKUP($E106,DD!$A$2:$C$150,3,0)),"",VLOOKUP($E106,DD!$A$2:$C$150,3,0)))</f>
        <v/>
      </c>
      <c r="H106" s="52"/>
      <c r="I106" s="52"/>
      <c r="J106" s="52"/>
      <c r="K106" s="52"/>
      <c r="L106" s="52"/>
      <c r="M106" s="50"/>
      <c r="N106" s="45" t="str">
        <f t="shared" si="3"/>
        <v/>
      </c>
      <c r="O106" s="54">
        <f>IF(N106="",0,N106+O105)</f>
        <v>0</v>
      </c>
    </row>
    <row r="107" spans="1:15" x14ac:dyDescent="0.25">
      <c r="A107" s="103">
        <v>22</v>
      </c>
      <c r="B107" s="108"/>
      <c r="C107" s="105"/>
      <c r="D107" s="80">
        <v>1</v>
      </c>
      <c r="E107" s="81"/>
      <c r="F107" s="82" t="str">
        <f>IF($E107="","",IF(ISNA(VLOOKUP($E107,DD!$A$2:$C$150,2,0)),"NO SUCH DIVE",VLOOKUP($E107,DD!$A$2:$C$150,2,0)))</f>
        <v/>
      </c>
      <c r="G107" s="83" t="str">
        <f>IF($E107="","",IF(ISNA(VLOOKUP($E107,DD!$A$2:$C$150,3,0)),"",VLOOKUP($E107,DD!$A$2:$C$150,3,0)))</f>
        <v/>
      </c>
      <c r="H107" s="84"/>
      <c r="I107" s="84"/>
      <c r="J107" s="84"/>
      <c r="K107" s="84"/>
      <c r="L107" s="84"/>
      <c r="M107" s="81"/>
      <c r="N107" s="82" t="str">
        <f t="shared" si="3"/>
        <v/>
      </c>
      <c r="O107" s="82" t="str">
        <f>IF(N107="","",N107)</f>
        <v/>
      </c>
    </row>
    <row r="108" spans="1:15" x14ac:dyDescent="0.25">
      <c r="A108" s="103"/>
      <c r="B108" s="108"/>
      <c r="C108" s="105"/>
      <c r="D108" s="80">
        <v>2</v>
      </c>
      <c r="E108" s="86"/>
      <c r="F108" s="82" t="str">
        <f>IF($E108="","",IF(ISNA(VLOOKUP($E108,DD!$A$2:$C$150,2,0)),"NO SUCH DIVE",VLOOKUP($E108,DD!$A$2:$C$150,2,0)))</f>
        <v/>
      </c>
      <c r="G108" s="83" t="str">
        <f>IF($E108="","",IF(ISNA(VLOOKUP($E108,DD!$A$2:$C$150,3,0)),"",VLOOKUP($E108,DD!$A$2:$C$150,3,0)))</f>
        <v/>
      </c>
      <c r="H108" s="84"/>
      <c r="I108" s="84"/>
      <c r="J108" s="84"/>
      <c r="K108" s="84"/>
      <c r="L108" s="84"/>
      <c r="M108" s="81"/>
      <c r="N108" s="82" t="str">
        <f t="shared" si="3"/>
        <v/>
      </c>
      <c r="O108" s="82" t="str">
        <f>IF(N108="","",N108+O107)</f>
        <v/>
      </c>
    </row>
    <row r="109" spans="1:15" x14ac:dyDescent="0.25">
      <c r="A109" s="103"/>
      <c r="B109" s="108"/>
      <c r="C109" s="105"/>
      <c r="D109" s="80">
        <v>3</v>
      </c>
      <c r="E109" s="86"/>
      <c r="F109" s="82" t="str">
        <f>IF($E109="","",IF(ISNA(VLOOKUP($E109,DD!$A$2:$C$150,2,0)),"NO SUCH DIVE",VLOOKUP($E109,DD!$A$2:$C$150,2,0)))</f>
        <v/>
      </c>
      <c r="G109" s="83" t="str">
        <f>IF($E109="","",IF(ISNA(VLOOKUP($E109,DD!$A$2:$C$150,3,0)),"",VLOOKUP($E109,DD!$A$2:$C$150,3,0)))</f>
        <v/>
      </c>
      <c r="H109" s="84"/>
      <c r="I109" s="84"/>
      <c r="J109" s="84"/>
      <c r="K109" s="84"/>
      <c r="L109" s="84"/>
      <c r="M109" s="81"/>
      <c r="N109" s="82" t="str">
        <f t="shared" si="3"/>
        <v/>
      </c>
      <c r="O109" s="82" t="str">
        <f>IF(N109="","",N109+O108)</f>
        <v/>
      </c>
    </row>
    <row r="110" spans="1:15" x14ac:dyDescent="0.25">
      <c r="A110" s="103"/>
      <c r="B110" s="108"/>
      <c r="C110" s="105"/>
      <c r="D110" s="80">
        <v>4</v>
      </c>
      <c r="E110" s="86"/>
      <c r="F110" s="82" t="str">
        <f>IF($E110="","",IF(ISNA(VLOOKUP($E110,DD!$A$2:$C$150,2,0)),"NO SUCH DIVE",VLOOKUP($E110,DD!$A$2:$C$150,2,0)))</f>
        <v/>
      </c>
      <c r="G110" s="80" t="str">
        <f>IF($E110="","",IF(ISNA(VLOOKUP($E110,DD!$A$2:$C$150,3,0)),"",VLOOKUP($E110,DD!$A$2:$C$150,3,0)))</f>
        <v/>
      </c>
      <c r="H110" s="84"/>
      <c r="I110" s="84"/>
      <c r="J110" s="84"/>
      <c r="K110" s="84"/>
      <c r="L110" s="84"/>
      <c r="M110" s="81"/>
      <c r="N110" s="82" t="str">
        <f t="shared" si="3"/>
        <v/>
      </c>
      <c r="O110" s="82" t="str">
        <f>IF(N110="","",N110+O109)</f>
        <v/>
      </c>
    </row>
    <row r="111" spans="1:15" x14ac:dyDescent="0.25">
      <c r="A111" s="103"/>
      <c r="B111" s="108"/>
      <c r="C111" s="105"/>
      <c r="D111" s="80">
        <v>5</v>
      </c>
      <c r="E111" s="86"/>
      <c r="F111" s="82" t="str">
        <f>IF($E111="","",IF(ISNA(VLOOKUP($E111,DD!$A$2:$C$150,2,0)),"NO SUCH DIVE",VLOOKUP($E111,DD!$A$2:$C$150,2,0)))</f>
        <v/>
      </c>
      <c r="G111" s="80" t="str">
        <f>IF($E111="","",IF(ISNA(VLOOKUP($E111,DD!$A$2:$C$150,3,0)),"",VLOOKUP($E111,DD!$A$2:$C$150,3,0)))</f>
        <v/>
      </c>
      <c r="H111" s="84"/>
      <c r="I111" s="84"/>
      <c r="J111" s="84"/>
      <c r="K111" s="84"/>
      <c r="L111" s="84"/>
      <c r="M111" s="81"/>
      <c r="N111" s="82" t="str">
        <f t="shared" si="3"/>
        <v/>
      </c>
      <c r="O111" s="85">
        <f>IF(N111="",0,N111+O110)</f>
        <v>0</v>
      </c>
    </row>
    <row r="112" spans="1:15" x14ac:dyDescent="0.25">
      <c r="A112" s="97">
        <v>23</v>
      </c>
      <c r="B112" s="107"/>
      <c r="C112" s="106"/>
      <c r="D112" s="46">
        <v>1</v>
      </c>
      <c r="E112" s="50"/>
      <c r="F112" s="45" t="str">
        <f>IF($E112="","",IF(ISNA(VLOOKUP($E112,DD!$A$2:$C$150,2,0)),"NO SUCH DIVE",VLOOKUP($E112,DD!$A$2:$C$150,2,0)))</f>
        <v/>
      </c>
      <c r="G112" s="51" t="str">
        <f>IF($E112="","",IF(ISNA(VLOOKUP($E112,DD!$A$2:$C$150,3,0)),"",VLOOKUP($E112,DD!$A$2:$C$150,3,0)))</f>
        <v/>
      </c>
      <c r="H112" s="52"/>
      <c r="I112" s="52"/>
      <c r="J112" s="52"/>
      <c r="K112" s="52"/>
      <c r="L112" s="52"/>
      <c r="M112" s="50"/>
      <c r="N112" s="45" t="str">
        <f t="shared" si="3"/>
        <v/>
      </c>
      <c r="O112" s="45" t="str">
        <f>IF(N112="","",N112)</f>
        <v/>
      </c>
    </row>
    <row r="113" spans="1:20" x14ac:dyDescent="0.25">
      <c r="A113" s="97"/>
      <c r="B113" s="107"/>
      <c r="C113" s="106"/>
      <c r="D113" s="46">
        <v>2</v>
      </c>
      <c r="E113" s="62"/>
      <c r="F113" s="45" t="str">
        <f>IF($E113="","",IF(ISNA(VLOOKUP($E113,DD!$A$2:$C$150,2,0)),"NO SUCH DIVE",VLOOKUP($E113,DD!$A$2:$C$150,2,0)))</f>
        <v/>
      </c>
      <c r="G113" s="51" t="str">
        <f>IF($E113="","",IF(ISNA(VLOOKUP($E113,DD!$A$2:$C$150,3,0)),"",VLOOKUP($E113,DD!$A$2:$C$150,3,0)))</f>
        <v/>
      </c>
      <c r="H113" s="52"/>
      <c r="I113" s="52"/>
      <c r="J113" s="52"/>
      <c r="K113" s="52"/>
      <c r="L113" s="52"/>
      <c r="M113" s="50"/>
      <c r="N113" s="45" t="str">
        <f t="shared" si="3"/>
        <v/>
      </c>
      <c r="O113" s="45" t="str">
        <f>IF(N113="","",N113+O112)</f>
        <v/>
      </c>
    </row>
    <row r="114" spans="1:20" x14ac:dyDescent="0.25">
      <c r="A114" s="97"/>
      <c r="B114" s="107"/>
      <c r="C114" s="106"/>
      <c r="D114" s="46">
        <v>3</v>
      </c>
      <c r="E114" s="62"/>
      <c r="F114" s="45" t="str">
        <f>IF($E114="","",IF(ISNA(VLOOKUP($E114,DD!$A$2:$C$150,2,0)),"NO SUCH DIVE",VLOOKUP($E114,DD!$A$2:$C$150,2,0)))</f>
        <v/>
      </c>
      <c r="G114" s="51" t="str">
        <f>IF($E114="","",IF(ISNA(VLOOKUP($E114,DD!$A$2:$C$150,3,0)),"",VLOOKUP($E114,DD!$A$2:$C$150,3,0)))</f>
        <v/>
      </c>
      <c r="H114" s="52"/>
      <c r="I114" s="52"/>
      <c r="J114" s="52"/>
      <c r="K114" s="52"/>
      <c r="L114" s="52"/>
      <c r="M114" s="50"/>
      <c r="N114" s="45" t="str">
        <f t="shared" si="3"/>
        <v/>
      </c>
      <c r="O114" s="45" t="str">
        <f>IF(N114="","",N114+O113)</f>
        <v/>
      </c>
    </row>
    <row r="115" spans="1:20" x14ac:dyDescent="0.25">
      <c r="A115" s="97"/>
      <c r="B115" s="107"/>
      <c r="C115" s="106"/>
      <c r="D115" s="46">
        <v>4</v>
      </c>
      <c r="E115" s="62"/>
      <c r="F115" s="45" t="str">
        <f>IF($E115="","",IF(ISNA(VLOOKUP($E115,DD!$A$2:$C$150,2,0)),"NO SUCH DIVE",VLOOKUP($E115,DD!$A$2:$C$150,2,0)))</f>
        <v/>
      </c>
      <c r="G115" s="46" t="str">
        <f>IF($E115="","",IF(ISNA(VLOOKUP($E115,DD!$A$2:$C$150,3,0)),"",VLOOKUP($E115,DD!$A$2:$C$150,3,0)))</f>
        <v/>
      </c>
      <c r="H115" s="52"/>
      <c r="I115" s="52"/>
      <c r="J115" s="52"/>
      <c r="K115" s="52"/>
      <c r="L115" s="52"/>
      <c r="M115" s="50"/>
      <c r="N115" s="45" t="str">
        <f t="shared" si="3"/>
        <v/>
      </c>
      <c r="O115" s="45" t="str">
        <f>IF(N115="","",N115+O114)</f>
        <v/>
      </c>
    </row>
    <row r="116" spans="1:20" x14ac:dyDescent="0.25">
      <c r="A116" s="97"/>
      <c r="B116" s="107"/>
      <c r="C116" s="106"/>
      <c r="D116" s="46">
        <v>5</v>
      </c>
      <c r="E116" s="62"/>
      <c r="F116" s="45" t="str">
        <f>IF($E116="","",IF(ISNA(VLOOKUP($E116,DD!$A$2:$C$150,2,0)),"NO SUCH DIVE",VLOOKUP($E116,DD!$A$2:$C$150,2,0)))</f>
        <v/>
      </c>
      <c r="G116" s="46" t="str">
        <f>IF($E116="","",IF(ISNA(VLOOKUP($E116,DD!$A$2:$C$150,3,0)),"",VLOOKUP($E116,DD!$A$2:$C$150,3,0)))</f>
        <v/>
      </c>
      <c r="H116" s="52"/>
      <c r="I116" s="52"/>
      <c r="J116" s="52"/>
      <c r="K116" s="52"/>
      <c r="L116" s="52"/>
      <c r="M116" s="50"/>
      <c r="N116" s="45" t="str">
        <f t="shared" si="3"/>
        <v/>
      </c>
      <c r="O116" s="54">
        <f>IF(N116="",0,N116+O115)</f>
        <v>0</v>
      </c>
    </row>
    <row r="117" spans="1:20" x14ac:dyDescent="0.25">
      <c r="A117" s="103">
        <v>24</v>
      </c>
      <c r="B117" s="108"/>
      <c r="C117" s="105"/>
      <c r="D117" s="80">
        <v>1</v>
      </c>
      <c r="E117" s="81"/>
      <c r="F117" s="82" t="str">
        <f>IF($E117="","",IF(ISNA(VLOOKUP($E117,DD!$A$2:$C$150,2,0)),"NO SUCH DIVE",VLOOKUP($E117,DD!$A$2:$C$150,2,0)))</f>
        <v/>
      </c>
      <c r="G117" s="83" t="str">
        <f>IF($E117="","",IF(ISNA(VLOOKUP($E117,DD!$A$2:$C$150,3,0)),"",VLOOKUP($E117,DD!$A$2:$C$150,3,0)))</f>
        <v/>
      </c>
      <c r="H117" s="84"/>
      <c r="I117" s="84"/>
      <c r="J117" s="84"/>
      <c r="K117" s="84"/>
      <c r="L117" s="84"/>
      <c r="M117" s="81"/>
      <c r="N117" s="82" t="str">
        <f t="shared" si="3"/>
        <v/>
      </c>
      <c r="O117" s="82" t="str">
        <f>IF(N117="","",N117)</f>
        <v/>
      </c>
    </row>
    <row r="118" spans="1:20" x14ac:dyDescent="0.25">
      <c r="A118" s="103"/>
      <c r="B118" s="108"/>
      <c r="C118" s="105"/>
      <c r="D118" s="80">
        <v>2</v>
      </c>
      <c r="E118" s="86"/>
      <c r="F118" s="82" t="str">
        <f>IF($E118="","",IF(ISNA(VLOOKUP($E118,DD!$A$2:$C$150,2,0)),"NO SUCH DIVE",VLOOKUP($E118,DD!$A$2:$C$150,2,0)))</f>
        <v/>
      </c>
      <c r="G118" s="83" t="str">
        <f>IF($E118="","",IF(ISNA(VLOOKUP($E118,DD!$A$2:$C$150,3,0)),"",VLOOKUP($E118,DD!$A$2:$C$150,3,0)))</f>
        <v/>
      </c>
      <c r="H118" s="84"/>
      <c r="I118" s="84"/>
      <c r="J118" s="84"/>
      <c r="K118" s="84"/>
      <c r="L118" s="84"/>
      <c r="M118" s="81"/>
      <c r="N118" s="82" t="str">
        <f t="shared" si="3"/>
        <v/>
      </c>
      <c r="O118" s="82" t="str">
        <f>IF(N118="","",N118+O117)</f>
        <v/>
      </c>
    </row>
    <row r="119" spans="1:20" x14ac:dyDescent="0.25">
      <c r="A119" s="103"/>
      <c r="B119" s="108"/>
      <c r="C119" s="105"/>
      <c r="D119" s="80">
        <v>3</v>
      </c>
      <c r="E119" s="86"/>
      <c r="F119" s="82" t="str">
        <f>IF($E119="","",IF(ISNA(VLOOKUP($E119,DD!$A$2:$C$150,2,0)),"NO SUCH DIVE",VLOOKUP($E119,DD!$A$2:$C$150,2,0)))</f>
        <v/>
      </c>
      <c r="G119" s="83" t="str">
        <f>IF($E119="","",IF(ISNA(VLOOKUP($E119,DD!$A$2:$C$150,3,0)),"",VLOOKUP($E119,DD!$A$2:$C$150,3,0)))</f>
        <v/>
      </c>
      <c r="H119" s="84"/>
      <c r="I119" s="84"/>
      <c r="J119" s="84"/>
      <c r="K119" s="84"/>
      <c r="L119" s="84"/>
      <c r="M119" s="81"/>
      <c r="N119" s="82" t="str">
        <f t="shared" si="3"/>
        <v/>
      </c>
      <c r="O119" s="82" t="str">
        <f>IF(N119="","",N119+O118)</f>
        <v/>
      </c>
    </row>
    <row r="120" spans="1:20" x14ac:dyDescent="0.25">
      <c r="A120" s="103"/>
      <c r="B120" s="108"/>
      <c r="C120" s="105"/>
      <c r="D120" s="80">
        <v>4</v>
      </c>
      <c r="E120" s="86"/>
      <c r="F120" s="82" t="str">
        <f>IF($E120="","",IF(ISNA(VLOOKUP($E120,DD!$A$2:$C$150,2,0)),"NO SUCH DIVE",VLOOKUP($E120,DD!$A$2:$C$150,2,0)))</f>
        <v/>
      </c>
      <c r="G120" s="80" t="str">
        <f>IF($E120="","",IF(ISNA(VLOOKUP($E120,DD!$A$2:$C$150,3,0)),"",VLOOKUP($E120,DD!$A$2:$C$150,3,0)))</f>
        <v/>
      </c>
      <c r="H120" s="84"/>
      <c r="I120" s="84"/>
      <c r="J120" s="84"/>
      <c r="K120" s="84"/>
      <c r="L120" s="84"/>
      <c r="M120" s="81"/>
      <c r="N120" s="82" t="str">
        <f t="shared" si="3"/>
        <v/>
      </c>
      <c r="O120" s="82" t="str">
        <f>IF(N120="","",N120+O119)</f>
        <v/>
      </c>
    </row>
    <row r="121" spans="1:20" x14ac:dyDescent="0.25">
      <c r="A121" s="103"/>
      <c r="B121" s="108"/>
      <c r="C121" s="105"/>
      <c r="D121" s="80">
        <v>5</v>
      </c>
      <c r="E121" s="86"/>
      <c r="F121" s="82" t="str">
        <f>IF($E121="","",IF(ISNA(VLOOKUP($E121,DD!$A$2:$C$150,2,0)),"NO SUCH DIVE",VLOOKUP($E121,DD!$A$2:$C$150,2,0)))</f>
        <v/>
      </c>
      <c r="G121" s="80" t="str">
        <f>IF($E121="","",IF(ISNA(VLOOKUP($E121,DD!$A$2:$C$150,3,0)),"",VLOOKUP($E121,DD!$A$2:$C$150,3,0)))</f>
        <v/>
      </c>
      <c r="H121" s="84"/>
      <c r="I121" s="84"/>
      <c r="J121" s="84"/>
      <c r="K121" s="84"/>
      <c r="L121" s="84"/>
      <c r="M121" s="81"/>
      <c r="N121" s="82" t="str">
        <f t="shared" si="3"/>
        <v/>
      </c>
      <c r="O121" s="85">
        <f>IF(N121="",0,N121+O120)</f>
        <v>0</v>
      </c>
    </row>
    <row r="123" spans="1:20" ht="30" x14ac:dyDescent="0.25">
      <c r="C123" s="63" t="s">
        <v>78</v>
      </c>
      <c r="D123" s="64" t="s">
        <v>79</v>
      </c>
      <c r="E123" s="65" t="s">
        <v>80</v>
      </c>
      <c r="F123" s="65" t="s">
        <v>27</v>
      </c>
      <c r="G123" s="65" t="s">
        <v>33</v>
      </c>
      <c r="H123" s="65" t="s">
        <v>81</v>
      </c>
      <c r="I123" s="66" t="s">
        <v>30</v>
      </c>
      <c r="R123" s="45" t="str">
        <f>INFO!$B$4</f>
        <v>Side</v>
      </c>
      <c r="S123" s="45" t="str">
        <f>INFO!$B$5</f>
        <v>ALPS</v>
      </c>
    </row>
    <row r="124" spans="1:20" x14ac:dyDescent="0.25">
      <c r="C124" s="67">
        <f>IF(E124&lt;1,0,1)</f>
        <v>1</v>
      </c>
      <c r="D124" s="68">
        <f>IF(OR(C124&lt;1,H124&lt;&gt;"",COUNTIF(T$124:T124,T124)&gt;3),"",VLOOKUP(C124-COUNTA(H$124:H124),DD!$E$24:$F$49,2))</f>
        <v>16</v>
      </c>
      <c r="E124" s="69">
        <f>IF(LARGE($R$2:$R$25,1)&lt;1,0,LARGE($R$2:$R$25,1))</f>
        <v>181.20000299999998</v>
      </c>
      <c r="F124" s="70" t="str">
        <f t="shared" ref="F124:F147" si="4">VLOOKUP(E124,$R$2:$T$26,2,0)</f>
        <v>Deen Akrivos</v>
      </c>
      <c r="G124" s="68" t="str">
        <f t="shared" ref="G124:G147" si="5">VLOOKUP(E124,$R$2:$T$26,3,0)</f>
        <v>WLRC</v>
      </c>
      <c r="H124" s="71"/>
      <c r="I124" s="72" t="str">
        <f t="shared" ref="I124:I146" si="6">IF(AND(OR(C124=C123,C124=C125),C124&lt;&gt;0),"TIE","")</f>
        <v/>
      </c>
      <c r="R124" s="45">
        <f t="shared" ref="R124:R147" si="7">IF(G124=$R$123,D124,0)</f>
        <v>0</v>
      </c>
      <c r="S124" s="45">
        <f t="shared" ref="S124:S147" si="8">IF(G124=$S$123,D124,0)</f>
        <v>0</v>
      </c>
      <c r="T124" s="73" t="str">
        <f t="shared" ref="T124:T147" si="9">G124&amp;H124</f>
        <v>WLRC</v>
      </c>
    </row>
    <row r="125" spans="1:20" x14ac:dyDescent="0.25">
      <c r="C125" s="67">
        <f>IF(E125&lt;1,0,IF(INT(E125*100)=INT(E124*100),C124,2))</f>
        <v>2</v>
      </c>
      <c r="D125" s="68">
        <f>IF(OR(C125&lt;1,H125&lt;&gt;"",COUNTIF(T$124:T125,T125)&gt;3),"",VLOOKUP(C125-COUNTA(H$124:H125),DD!$E$24:$F$49,2))</f>
        <v>14</v>
      </c>
      <c r="E125" s="69">
        <f>IF(LARGE($R$2:$R$25,2)&lt;1,0,LARGE($R$2:$R$25,2))</f>
        <v>156.450006</v>
      </c>
      <c r="F125" s="70" t="str">
        <f t="shared" si="4"/>
        <v>Kris Boudreau</v>
      </c>
      <c r="G125" s="68" t="str">
        <f t="shared" si="5"/>
        <v>PVPC</v>
      </c>
      <c r="H125" s="71"/>
      <c r="I125" s="72" t="str">
        <f t="shared" si="6"/>
        <v/>
      </c>
      <c r="R125" s="45">
        <f t="shared" si="7"/>
        <v>0</v>
      </c>
      <c r="S125" s="45">
        <f t="shared" si="8"/>
        <v>0</v>
      </c>
      <c r="T125" s="73" t="str">
        <f t="shared" si="9"/>
        <v>PVPC</v>
      </c>
    </row>
    <row r="126" spans="1:20" x14ac:dyDescent="0.25">
      <c r="C126" s="67">
        <f>IF(E126&lt;1,0,IF(INT(E126*100)=INT(E125*100),C125,3))</f>
        <v>3</v>
      </c>
      <c r="D126" s="68">
        <f>IF(OR(C126&lt;1,H126&lt;&gt;"",COUNTIF(T$124:T126,T126)&gt;3),"",VLOOKUP(C126-COUNTA(H$124:H126),DD!$E$24:$F$49,2))</f>
        <v>12</v>
      </c>
      <c r="E126" s="69">
        <f>IF(LARGE($R$2:$R$25,3)&lt;1,0,LARGE($R$2:$R$25,3))</f>
        <v>140.400012</v>
      </c>
      <c r="F126" s="70" t="str">
        <f t="shared" si="4"/>
        <v>Juan Cruz</v>
      </c>
      <c r="G126" s="68" t="str">
        <f t="shared" si="5"/>
        <v>VIK</v>
      </c>
      <c r="H126" s="71"/>
      <c r="I126" s="72" t="str">
        <f t="shared" si="6"/>
        <v/>
      </c>
      <c r="R126" s="45">
        <f t="shared" si="7"/>
        <v>0</v>
      </c>
      <c r="S126" s="45">
        <f t="shared" si="8"/>
        <v>0</v>
      </c>
      <c r="T126" s="73" t="str">
        <f t="shared" si="9"/>
        <v>VIK</v>
      </c>
    </row>
    <row r="127" spans="1:20" x14ac:dyDescent="0.25">
      <c r="C127" s="67">
        <f>IF(E127&lt;1,0,IF(INT(E127*100)=INT(E126*100),C126,4))</f>
        <v>4</v>
      </c>
      <c r="D127" s="68">
        <f>IF(OR(C127&lt;1,H127&lt;&gt;"",COUNTIF(T$124:T127,T127)&gt;3),"",VLOOKUP(C127-COUNTA(H$124:H127),DD!$E$24:$F$49,2))</f>
        <v>11</v>
      </c>
      <c r="E127" s="69">
        <f>IF(LARGE($R$2:$R$25,4)&lt;1,0,LARGE($R$2:$R$25,4))</f>
        <v>138.400002</v>
      </c>
      <c r="F127" s="70" t="str">
        <f t="shared" si="4"/>
        <v>Marc Botto</v>
      </c>
      <c r="G127" s="68" t="str">
        <f t="shared" si="5"/>
        <v>Cedar</v>
      </c>
      <c r="H127" s="71"/>
      <c r="I127" s="72" t="str">
        <f t="shared" si="6"/>
        <v/>
      </c>
      <c r="R127" s="45">
        <f t="shared" si="7"/>
        <v>0</v>
      </c>
      <c r="S127" s="45">
        <f t="shared" si="8"/>
        <v>0</v>
      </c>
      <c r="T127" s="73" t="str">
        <f t="shared" si="9"/>
        <v>Cedar</v>
      </c>
    </row>
    <row r="128" spans="1:20" x14ac:dyDescent="0.25">
      <c r="C128" s="67">
        <f>IF(E128&lt;1,0,IF(INT(E128*100)=INT(E127*100),C127,5))</f>
        <v>5</v>
      </c>
      <c r="D128" s="68">
        <f>IF(OR(C128&lt;1,H128&lt;&gt;"",COUNTIF(T$124:T128,T128)&gt;3),"",VLOOKUP(C128-COUNTA(H$124:H128),DD!$E$24:$F$49,2))</f>
        <v>10</v>
      </c>
      <c r="E128" s="69">
        <f>IF(LARGE($R$2:$R$25,5)&lt;1,0,LARGE($R$2:$R$25,5))</f>
        <v>136.70001000000002</v>
      </c>
      <c r="F128" s="70" t="str">
        <f t="shared" si="4"/>
        <v>Kai Brodeur</v>
      </c>
      <c r="G128" s="68" t="str">
        <f t="shared" si="5"/>
        <v>Val</v>
      </c>
      <c r="H128" s="71"/>
      <c r="I128" s="72" t="str">
        <f t="shared" si="6"/>
        <v/>
      </c>
      <c r="R128" s="45">
        <f t="shared" si="7"/>
        <v>0</v>
      </c>
      <c r="S128" s="45">
        <f t="shared" si="8"/>
        <v>0</v>
      </c>
      <c r="T128" s="73" t="str">
        <f t="shared" si="9"/>
        <v>Val</v>
      </c>
    </row>
    <row r="129" spans="3:20" x14ac:dyDescent="0.25">
      <c r="C129" s="67">
        <f>IF(E129&lt;1,0,IF(INT(E129*100)=INT(E128*100),C128,6))</f>
        <v>6</v>
      </c>
      <c r="D129" s="68">
        <f>IF(OR(C129&lt;1,H129&lt;&gt;"",COUNTIF(T$124:T129,T129)&gt;3),"",VLOOKUP(C129-COUNTA(H$124:H129),DD!$E$24:$F$49,2))</f>
        <v>9</v>
      </c>
      <c r="E129" s="69">
        <f>IF(LARGE($R$2:$R$25,6)&lt;1,0,LARGE($R$2:$R$25,6))</f>
        <v>128.80001300000001</v>
      </c>
      <c r="F129" s="70" t="str">
        <f t="shared" si="4"/>
        <v>Jonathan Munger</v>
      </c>
      <c r="G129" s="68">
        <f t="shared" si="5"/>
        <v>0</v>
      </c>
      <c r="H129" s="71"/>
      <c r="I129" s="72" t="str">
        <f t="shared" si="6"/>
        <v/>
      </c>
      <c r="R129" s="45">
        <f t="shared" si="7"/>
        <v>0</v>
      </c>
      <c r="S129" s="45">
        <f t="shared" si="8"/>
        <v>0</v>
      </c>
      <c r="T129" s="73" t="str">
        <f t="shared" si="9"/>
        <v>0</v>
      </c>
    </row>
    <row r="130" spans="3:20" x14ac:dyDescent="0.25">
      <c r="C130" s="67">
        <f>IF(E130&lt;1,0,IF(INT(E130*100)=INT(E129*100),C129,7))</f>
        <v>7</v>
      </c>
      <c r="D130" s="68">
        <f>IF(OR(C130&lt;1,H130&lt;&gt;"",COUNTIF(T$124:T130,T130)&gt;3),"",VLOOKUP(C130-COUNTA(H$124:H130),DD!$E$24:$F$49,2))</f>
        <v>7</v>
      </c>
      <c r="E130" s="69">
        <f>IF(LARGE($R$2:$R$25,7)&lt;1,0,LARGE($R$2:$R$25,7))</f>
        <v>117.00000799999999</v>
      </c>
      <c r="F130" s="70" t="str">
        <f t="shared" si="4"/>
        <v>Jeff Patrouille</v>
      </c>
      <c r="G130" s="68" t="str">
        <f t="shared" si="5"/>
        <v>PVPC</v>
      </c>
      <c r="H130" s="71"/>
      <c r="I130" s="72" t="str">
        <f t="shared" si="6"/>
        <v/>
      </c>
      <c r="R130" s="45">
        <f t="shared" si="7"/>
        <v>0</v>
      </c>
      <c r="S130" s="45">
        <f t="shared" si="8"/>
        <v>0</v>
      </c>
      <c r="T130" s="73" t="str">
        <f t="shared" si="9"/>
        <v>PVPC</v>
      </c>
    </row>
    <row r="131" spans="3:20" x14ac:dyDescent="0.25">
      <c r="C131" s="67">
        <f>IF(E131&lt;1,0,IF(INT(E131*100)=INT(E130*100),C130,8))</f>
        <v>8</v>
      </c>
      <c r="D131" s="68">
        <f>IF(OR(C131&lt;1,H131&lt;&gt;"",COUNTIF(T$124:T131,T131)&gt;3),"",VLOOKUP(C131-COUNTA(H$124:H131),DD!$E$24:$F$49,2))</f>
        <v>5</v>
      </c>
      <c r="E131" s="69">
        <f>IF(LARGE($R$2:$R$25,8)&lt;1,0,LARGE($R$2:$R$25,8))</f>
        <v>114.850005</v>
      </c>
      <c r="F131" s="70" t="str">
        <f t="shared" si="4"/>
        <v>Alex Odoerfer</v>
      </c>
      <c r="G131" s="68" t="str">
        <f t="shared" si="5"/>
        <v>Val</v>
      </c>
      <c r="H131" s="71"/>
      <c r="I131" s="72" t="str">
        <f t="shared" si="6"/>
        <v/>
      </c>
      <c r="R131" s="45">
        <f t="shared" si="7"/>
        <v>0</v>
      </c>
      <c r="S131" s="45">
        <f t="shared" si="8"/>
        <v>0</v>
      </c>
      <c r="T131" s="73" t="str">
        <f t="shared" si="9"/>
        <v>Val</v>
      </c>
    </row>
    <row r="132" spans="3:20" x14ac:dyDescent="0.25">
      <c r="C132" s="67">
        <f>IF(E132&lt;1,0,IF(INT(E132*100)=INT(E131*100),C131,9))</f>
        <v>9</v>
      </c>
      <c r="D132" s="68">
        <f>IF(OR(C132&lt;1,H132&lt;&gt;"",COUNTIF(T$124:T132,T132)&gt;3),"",VLOOKUP(C132-COUNTA(H$124:H132),DD!$E$24:$F$49,2))</f>
        <v>4</v>
      </c>
      <c r="E132" s="69">
        <f>IF(LARGE($R$2:$R$25,9)&lt;1,0,LARGE($R$2:$R$25,9))</f>
        <v>95.100003999999998</v>
      </c>
      <c r="F132" s="70" t="str">
        <f t="shared" si="4"/>
        <v xml:space="preserve">Anthony Falcone </v>
      </c>
      <c r="G132" s="68" t="str">
        <f t="shared" si="5"/>
        <v>HCP</v>
      </c>
      <c r="H132" s="71"/>
      <c r="I132" s="72" t="str">
        <f t="shared" si="6"/>
        <v/>
      </c>
      <c r="R132" s="45">
        <f t="shared" si="7"/>
        <v>0</v>
      </c>
      <c r="S132" s="45">
        <f t="shared" si="8"/>
        <v>0</v>
      </c>
      <c r="T132" s="73" t="str">
        <f t="shared" si="9"/>
        <v>HCP</v>
      </c>
    </row>
    <row r="133" spans="3:20" x14ac:dyDescent="0.25">
      <c r="C133" s="67">
        <f>IF(E133&lt;1,0,IF(INT(E133*100)=INT(E132*100),C132,10))</f>
        <v>10</v>
      </c>
      <c r="D133" s="68">
        <f>IF(OR(C133&lt;1,H133&lt;&gt;"",COUNTIF(T$124:T133,T133)&gt;3),"",VLOOKUP(C133-COUNTA(H$124:H133),DD!$E$24:$F$49,2))</f>
        <v>3</v>
      </c>
      <c r="E133" s="69">
        <f>IF(LARGE($R$2:$R$25,10)&lt;1,0,LARGE($R$2:$R$25,10))</f>
        <v>88.500011000000001</v>
      </c>
      <c r="F133" s="70" t="str">
        <f t="shared" si="4"/>
        <v>Phoenix Marquis-Bilquard</v>
      </c>
      <c r="G133" s="68" t="str">
        <f t="shared" si="5"/>
        <v>Side</v>
      </c>
      <c r="H133" s="71"/>
      <c r="I133" s="72" t="str">
        <f t="shared" si="6"/>
        <v/>
      </c>
      <c r="R133" s="45">
        <f t="shared" si="7"/>
        <v>3</v>
      </c>
      <c r="S133" s="45">
        <f t="shared" si="8"/>
        <v>0</v>
      </c>
      <c r="T133" s="73" t="str">
        <f t="shared" si="9"/>
        <v>Side</v>
      </c>
    </row>
    <row r="134" spans="3:20" x14ac:dyDescent="0.25">
      <c r="C134" s="67">
        <f>IF(E134&lt;1,0,IF(INT(E134*100)=INT(E133*100),C133,11))</f>
        <v>11</v>
      </c>
      <c r="D134" s="68">
        <f>IF(OR(C134&lt;1,H134&lt;&gt;"",COUNTIF(T$124:T134,T134)&gt;3),"",VLOOKUP(C134-COUNTA(H$124:H134),DD!$E$24:$F$49,2))</f>
        <v>2</v>
      </c>
      <c r="E134" s="69">
        <f>IF(LARGE($R$2:$R$25,11)&lt;1,0,LARGE($R$2:$R$25,11))</f>
        <v>74.100009</v>
      </c>
      <c r="F134" s="70" t="str">
        <f t="shared" si="4"/>
        <v>Nicky Brodbeck</v>
      </c>
      <c r="G134" s="68" t="str">
        <f t="shared" si="5"/>
        <v>Cedar</v>
      </c>
      <c r="H134" s="71"/>
      <c r="I134" s="72" t="str">
        <f t="shared" si="6"/>
        <v/>
      </c>
      <c r="R134" s="45">
        <f t="shared" si="7"/>
        <v>0</v>
      </c>
      <c r="S134" s="45">
        <f t="shared" si="8"/>
        <v>0</v>
      </c>
      <c r="T134" s="73" t="str">
        <f t="shared" si="9"/>
        <v>Cedar</v>
      </c>
    </row>
    <row r="135" spans="3:20" x14ac:dyDescent="0.25">
      <c r="C135" s="67">
        <f>IF(E135&lt;1,0,IF(INT(E135*100)=INT(E134*100),C134,12))</f>
        <v>12</v>
      </c>
      <c r="D135" s="68">
        <f>IF(OR(C135&lt;1,H135&lt;&gt;"",COUNTIF(T$124:T135,T135)&gt;3),"",VLOOKUP(C135-COUNTA(H$124:H135),DD!$E$24:$F$49,2))</f>
        <v>1</v>
      </c>
      <c r="E135" s="69">
        <f>IF(LARGE($R$2:$R$25,12)&lt;1,0,LARGE($R$2:$R$25,12))</f>
        <v>62.700006999999992</v>
      </c>
      <c r="F135" s="70" t="str">
        <f t="shared" si="4"/>
        <v>Raf Almeida</v>
      </c>
      <c r="G135" s="68" t="str">
        <f t="shared" si="5"/>
        <v>Cedar</v>
      </c>
      <c r="H135" s="71"/>
      <c r="I135" s="72" t="str">
        <f t="shared" si="6"/>
        <v/>
      </c>
      <c r="R135" s="45">
        <f t="shared" si="7"/>
        <v>0</v>
      </c>
      <c r="S135" s="45">
        <f t="shared" si="8"/>
        <v>0</v>
      </c>
      <c r="T135" s="73" t="str">
        <f t="shared" si="9"/>
        <v>Cedar</v>
      </c>
    </row>
    <row r="136" spans="3:20" x14ac:dyDescent="0.25">
      <c r="C136" s="67">
        <f>IF(E136&lt;1,0,IF(INT(E136*100)=INT(E135*100),C135,13))</f>
        <v>0</v>
      </c>
      <c r="D136" s="68" t="str">
        <f>IF(OR(C136&lt;1,H136&lt;&gt;"",COUNTIF(T$124:T136,T136)&gt;3),"",VLOOKUP(C136-COUNTA(H$124:H136),DD!$E$24:$F$49,2))</f>
        <v/>
      </c>
      <c r="E136" s="69">
        <f>IF(LARGE($R$2:$R$25,13)&lt;1,0,LARGE($R$2:$R$25,13))</f>
        <v>0</v>
      </c>
      <c r="F136" s="70">
        <f t="shared" si="4"/>
        <v>0</v>
      </c>
      <c r="G136" s="68">
        <f t="shared" si="5"/>
        <v>0</v>
      </c>
      <c r="H136" s="71"/>
      <c r="I136" s="72" t="str">
        <f t="shared" si="6"/>
        <v/>
      </c>
      <c r="R136" s="45">
        <f t="shared" si="7"/>
        <v>0</v>
      </c>
      <c r="S136" s="45">
        <f t="shared" si="8"/>
        <v>0</v>
      </c>
      <c r="T136" s="73" t="str">
        <f t="shared" si="9"/>
        <v>0</v>
      </c>
    </row>
    <row r="137" spans="3:20" x14ac:dyDescent="0.25">
      <c r="C137" s="67">
        <f>IF(E137&lt;1,0,IF(INT(E137*100)=INT(E136*100),C136,14))</f>
        <v>0</v>
      </c>
      <c r="D137" s="68" t="str">
        <f>IF(OR(C137&lt;1,H137&lt;&gt;"",COUNTIF(T$124:T137,T137)&gt;3),"",VLOOKUP(C137-COUNTA(H$124:H137),DD!$E$24:$F$49,2))</f>
        <v/>
      </c>
      <c r="E137" s="69">
        <f>IF(LARGE($R$2:$R$25,14)&lt;1,0,LARGE($R$2:$R$25,14))</f>
        <v>0</v>
      </c>
      <c r="F137" s="70">
        <f t="shared" si="4"/>
        <v>0</v>
      </c>
      <c r="G137" s="68">
        <f t="shared" si="5"/>
        <v>0</v>
      </c>
      <c r="H137" s="71"/>
      <c r="I137" s="72" t="str">
        <f t="shared" si="6"/>
        <v/>
      </c>
      <c r="R137" s="45">
        <f t="shared" si="7"/>
        <v>0</v>
      </c>
      <c r="S137" s="45">
        <f t="shared" si="8"/>
        <v>0</v>
      </c>
      <c r="T137" s="73" t="str">
        <f t="shared" si="9"/>
        <v>0</v>
      </c>
    </row>
    <row r="138" spans="3:20" x14ac:dyDescent="0.25">
      <c r="C138" s="67">
        <f>IF(E138&lt;1,0,IF(INT(E138*100)=INT(E137*100),C137,15))</f>
        <v>0</v>
      </c>
      <c r="D138" s="68" t="str">
        <f>IF(OR(C138&lt;1,H138&lt;&gt;"",COUNTIF(T$124:T138,T138)&gt;3),"",VLOOKUP(C138-COUNTA(H$124:H138),DD!$E$24:$F$49,2))</f>
        <v/>
      </c>
      <c r="E138" s="69">
        <f>IF(LARGE($R$2:$R$25,15)&lt;1,0,LARGE($R$2:$R$25,15))</f>
        <v>0</v>
      </c>
      <c r="F138" s="70">
        <f t="shared" si="4"/>
        <v>0</v>
      </c>
      <c r="G138" s="68">
        <f t="shared" si="5"/>
        <v>0</v>
      </c>
      <c r="H138" s="71"/>
      <c r="I138" s="72" t="str">
        <f t="shared" si="6"/>
        <v/>
      </c>
      <c r="R138" s="45">
        <f t="shared" si="7"/>
        <v>0</v>
      </c>
      <c r="S138" s="45">
        <f t="shared" si="8"/>
        <v>0</v>
      </c>
      <c r="T138" s="73" t="str">
        <f t="shared" si="9"/>
        <v>0</v>
      </c>
    </row>
    <row r="139" spans="3:20" x14ac:dyDescent="0.25">
      <c r="C139" s="67">
        <f>IF(E139&lt;1,0,IF(INT(E139*100)=INT(E138*100),C138,16))</f>
        <v>0</v>
      </c>
      <c r="D139" s="68" t="str">
        <f>IF(OR(C139&lt;1,H139&lt;&gt;"",COUNTIF(T$124:T139,T139)&gt;3),"",VLOOKUP(C139-COUNTA(H$124:H139),DD!$E$24:$F$49,2))</f>
        <v/>
      </c>
      <c r="E139" s="69">
        <f>IF(LARGE($R$2:$R$25,16)&lt;1,0,LARGE($R$2:$R$25,16))</f>
        <v>0</v>
      </c>
      <c r="F139" s="70">
        <f t="shared" si="4"/>
        <v>0</v>
      </c>
      <c r="G139" s="68">
        <f t="shared" si="5"/>
        <v>0</v>
      </c>
      <c r="H139" s="71"/>
      <c r="I139" s="72" t="str">
        <f t="shared" si="6"/>
        <v/>
      </c>
      <c r="R139" s="45">
        <f t="shared" si="7"/>
        <v>0</v>
      </c>
      <c r="S139" s="45">
        <f t="shared" si="8"/>
        <v>0</v>
      </c>
      <c r="T139" s="73" t="str">
        <f t="shared" si="9"/>
        <v>0</v>
      </c>
    </row>
    <row r="140" spans="3:20" x14ac:dyDescent="0.25">
      <c r="C140" s="67">
        <f>IF(E140&lt;1,0,IF(INT(E140*100)=INT(E139*100),C139,17))</f>
        <v>0</v>
      </c>
      <c r="D140" s="68" t="str">
        <f>IF(OR(C140&lt;1,H140&lt;&gt;"",COUNTIF(T$124:T140,T140)&gt;3),"",VLOOKUP(C140-COUNTA(H$124:H140),DD!$E$24:$F$49,2))</f>
        <v/>
      </c>
      <c r="E140" s="69">
        <f>IF(LARGE($R$2:$R$25,17)&lt;1,0,LARGE($R$2:$R$25,17))</f>
        <v>0</v>
      </c>
      <c r="F140" s="70">
        <f t="shared" si="4"/>
        <v>0</v>
      </c>
      <c r="G140" s="68">
        <f t="shared" si="5"/>
        <v>0</v>
      </c>
      <c r="H140" s="71"/>
      <c r="I140" s="72" t="str">
        <f t="shared" si="6"/>
        <v/>
      </c>
      <c r="R140" s="45">
        <f t="shared" si="7"/>
        <v>0</v>
      </c>
      <c r="S140" s="45">
        <f t="shared" si="8"/>
        <v>0</v>
      </c>
      <c r="T140" s="73" t="str">
        <f t="shared" si="9"/>
        <v>0</v>
      </c>
    </row>
    <row r="141" spans="3:20" x14ac:dyDescent="0.25">
      <c r="C141" s="67">
        <f>IF(E141&lt;1,0,IF(INT(E141*100)=INT(E140*100),C140,18))</f>
        <v>0</v>
      </c>
      <c r="D141" s="68" t="str">
        <f>IF(OR(C141&lt;1,H141&lt;&gt;"",COUNTIF(T$124:T141,T141)&gt;3),"",VLOOKUP(C141-COUNTA(H$124:H141),DD!$E$24:$F$49,2))</f>
        <v/>
      </c>
      <c r="E141" s="69">
        <f>IF(LARGE($R$2:$R$25,18)&lt;1,0,LARGE($R$2:$R$25,18))</f>
        <v>0</v>
      </c>
      <c r="F141" s="70">
        <f t="shared" si="4"/>
        <v>0</v>
      </c>
      <c r="G141" s="68">
        <f t="shared" si="5"/>
        <v>0</v>
      </c>
      <c r="H141" s="71"/>
      <c r="I141" s="72" t="str">
        <f t="shared" si="6"/>
        <v/>
      </c>
      <c r="R141" s="45">
        <f t="shared" si="7"/>
        <v>0</v>
      </c>
      <c r="S141" s="45">
        <f t="shared" si="8"/>
        <v>0</v>
      </c>
      <c r="T141" s="73" t="str">
        <f t="shared" si="9"/>
        <v>0</v>
      </c>
    </row>
    <row r="142" spans="3:20" x14ac:dyDescent="0.25">
      <c r="C142" s="67">
        <f>IF(E142&lt;1,0,IF(INT(E142*100)=INT(E141*100),C141,19))</f>
        <v>0</v>
      </c>
      <c r="D142" s="68" t="str">
        <f>IF(OR(C142&lt;1,H142&lt;&gt;"",COUNTIF(T$124:T142,T142)&gt;3),"",VLOOKUP(C142-COUNTA(H$124:H142),DD!$E$24:$F$49,2))</f>
        <v/>
      </c>
      <c r="E142" s="69">
        <f>IF(LARGE($R$2:$R$25,19)&lt;1,0,LARGE($R$2:$R$25,19))</f>
        <v>0</v>
      </c>
      <c r="F142" s="70">
        <f t="shared" si="4"/>
        <v>0</v>
      </c>
      <c r="G142" s="68">
        <f t="shared" si="5"/>
        <v>0</v>
      </c>
      <c r="H142" s="71"/>
      <c r="I142" s="72" t="str">
        <f t="shared" si="6"/>
        <v/>
      </c>
      <c r="R142" s="45">
        <f t="shared" si="7"/>
        <v>0</v>
      </c>
      <c r="S142" s="45">
        <f t="shared" si="8"/>
        <v>0</v>
      </c>
      <c r="T142" s="73" t="str">
        <f t="shared" si="9"/>
        <v>0</v>
      </c>
    </row>
    <row r="143" spans="3:20" x14ac:dyDescent="0.25">
      <c r="C143" s="67">
        <f>IF(E143&lt;1,0,IF(INT(E143*100)=INT(E142*100),C142,20))</f>
        <v>0</v>
      </c>
      <c r="D143" s="68" t="str">
        <f>IF(OR(C143&lt;1,H143&lt;&gt;"",COUNTIF(T$124:T143,T143)&gt;3),"",VLOOKUP(C143-COUNTA(H$124:H143),DD!$E$24:$F$49,2))</f>
        <v/>
      </c>
      <c r="E143" s="69">
        <f>IF(LARGE($R$2:$R$25,20)&lt;1,0,LARGE($R$2:$R$25,20))</f>
        <v>0</v>
      </c>
      <c r="F143" s="70">
        <f t="shared" si="4"/>
        <v>0</v>
      </c>
      <c r="G143" s="68">
        <f t="shared" si="5"/>
        <v>0</v>
      </c>
      <c r="H143" s="71"/>
      <c r="I143" s="72" t="str">
        <f t="shared" si="6"/>
        <v/>
      </c>
      <c r="R143" s="45">
        <f t="shared" si="7"/>
        <v>0</v>
      </c>
      <c r="S143" s="45">
        <f t="shared" si="8"/>
        <v>0</v>
      </c>
      <c r="T143" s="73" t="str">
        <f t="shared" si="9"/>
        <v>0</v>
      </c>
    </row>
    <row r="144" spans="3:20" x14ac:dyDescent="0.25">
      <c r="C144" s="67">
        <f>IF(E144&lt;1,0,IF(INT(E144*100)=INT(E143*100),C143,21))</f>
        <v>0</v>
      </c>
      <c r="D144" s="68" t="str">
        <f>IF(OR(C144&lt;1,H144&lt;&gt;"",COUNTIF(T$124:T144,T144)&gt;3),"",VLOOKUP(C144-COUNTA(H$124:H144),DD!$E$24:$F$49,2))</f>
        <v/>
      </c>
      <c r="E144" s="69">
        <f>IF(LARGE($R$2:$R$25,21)&lt;1,0,LARGE($R$2:$R$25,21))</f>
        <v>0</v>
      </c>
      <c r="F144" s="70">
        <f t="shared" si="4"/>
        <v>0</v>
      </c>
      <c r="G144" s="68">
        <f t="shared" si="5"/>
        <v>0</v>
      </c>
      <c r="H144" s="71"/>
      <c r="I144" s="72" t="str">
        <f t="shared" si="6"/>
        <v/>
      </c>
      <c r="R144" s="45">
        <f t="shared" si="7"/>
        <v>0</v>
      </c>
      <c r="S144" s="45">
        <f t="shared" si="8"/>
        <v>0</v>
      </c>
      <c r="T144" s="73" t="str">
        <f t="shared" si="9"/>
        <v>0</v>
      </c>
    </row>
    <row r="145" spans="3:20" x14ac:dyDescent="0.25">
      <c r="C145" s="67">
        <f>IF(E145&lt;1,0,IF(INT(E145*100)=INT(E144*100),C144,22))</f>
        <v>0</v>
      </c>
      <c r="D145" s="68" t="str">
        <f>IF(OR(C145&lt;1,H145&lt;&gt;"",COUNTIF(T$124:T145,T145)&gt;3),"",VLOOKUP(C145-COUNTA(H$124:H145),DD!$E$24:$F$49,2))</f>
        <v/>
      </c>
      <c r="E145" s="69">
        <f>IF(LARGE($R$2:$R$25,22)&lt;1,0,LARGE($R$2:$R$25,22))</f>
        <v>0</v>
      </c>
      <c r="F145" s="70">
        <f t="shared" si="4"/>
        <v>0</v>
      </c>
      <c r="G145" s="68">
        <f t="shared" si="5"/>
        <v>0</v>
      </c>
      <c r="H145" s="71"/>
      <c r="I145" s="72" t="str">
        <f t="shared" si="6"/>
        <v/>
      </c>
      <c r="R145" s="45">
        <f t="shared" si="7"/>
        <v>0</v>
      </c>
      <c r="S145" s="45">
        <f t="shared" si="8"/>
        <v>0</v>
      </c>
      <c r="T145" s="73" t="str">
        <f t="shared" si="9"/>
        <v>0</v>
      </c>
    </row>
    <row r="146" spans="3:20" x14ac:dyDescent="0.25">
      <c r="C146" s="67">
        <f>IF(E146&lt;1,0,IF(INT(E146*100)=INT(E145*100),C145,23))</f>
        <v>0</v>
      </c>
      <c r="D146" s="68" t="str">
        <f>IF(OR(C146&lt;1,H146&lt;&gt;"",COUNTIF(T$124:T146,T146)&gt;3),"",VLOOKUP(C146-COUNTA(H$124:H146),DD!$E$24:$F$49,2))</f>
        <v/>
      </c>
      <c r="E146" s="69">
        <f>IF(LARGE($R$2:$R$25,23)&lt;1,0,LARGE($R$2:$R$25,23))</f>
        <v>0</v>
      </c>
      <c r="F146" s="70">
        <f t="shared" si="4"/>
        <v>0</v>
      </c>
      <c r="G146" s="68">
        <f t="shared" si="5"/>
        <v>0</v>
      </c>
      <c r="H146" s="71"/>
      <c r="I146" s="72" t="str">
        <f t="shared" si="6"/>
        <v/>
      </c>
      <c r="R146" s="45">
        <f t="shared" si="7"/>
        <v>0</v>
      </c>
      <c r="S146" s="45">
        <f t="shared" si="8"/>
        <v>0</v>
      </c>
      <c r="T146" s="73" t="str">
        <f t="shared" si="9"/>
        <v>0</v>
      </c>
    </row>
    <row r="147" spans="3:20" x14ac:dyDescent="0.25">
      <c r="C147" s="67">
        <f>IF(E147&lt;1,0,IF(INT(E147*100)=INT(E146*100),C146,24))</f>
        <v>0</v>
      </c>
      <c r="D147" s="68" t="str">
        <f>IF(OR(C147&lt;1,H147&lt;&gt;"",COUNTIF(T$124:T147,T147)&gt;3),"",VLOOKUP(C147-COUNTA(H$124:H147),DD!$E$24:$F$49,2))</f>
        <v/>
      </c>
      <c r="E147" s="69">
        <f>IF(LARGE($R$2:$R$25,24)&lt;1,0,LARGE($R$2:$R$25,24))</f>
        <v>0</v>
      </c>
      <c r="F147" s="70">
        <f t="shared" si="4"/>
        <v>0</v>
      </c>
      <c r="G147" s="68">
        <f t="shared" si="5"/>
        <v>0</v>
      </c>
      <c r="H147" s="71"/>
      <c r="I147" s="72" t="str">
        <f>IF(AND(C147=C146,C147&lt;&gt;0),"TIE","")</f>
        <v/>
      </c>
      <c r="R147" s="45">
        <f t="shared" si="7"/>
        <v>0</v>
      </c>
      <c r="S147" s="45">
        <f t="shared" si="8"/>
        <v>0</v>
      </c>
      <c r="T147" s="73" t="str">
        <f t="shared" si="9"/>
        <v>0</v>
      </c>
    </row>
    <row r="148" spans="3:20" x14ac:dyDescent="0.25">
      <c r="C148" s="74"/>
      <c r="D148" s="75"/>
      <c r="E148" s="76"/>
      <c r="F148" s="77"/>
      <c r="G148" s="75"/>
      <c r="H148" s="78"/>
      <c r="I148" s="79"/>
    </row>
  </sheetData>
  <sheetProtection sheet="1" objects="1" scenarios="1"/>
  <mergeCells count="72">
    <mergeCell ref="A2:A6"/>
    <mergeCell ref="B2:B6"/>
    <mergeCell ref="C2:C6"/>
    <mergeCell ref="A7:A11"/>
    <mergeCell ref="B7:B11"/>
    <mergeCell ref="C7:C11"/>
    <mergeCell ref="A12:A16"/>
    <mergeCell ref="B12:B16"/>
    <mergeCell ref="C12:C16"/>
    <mergeCell ref="A17:A21"/>
    <mergeCell ref="B17:B21"/>
    <mergeCell ref="C17:C21"/>
    <mergeCell ref="A22:A26"/>
    <mergeCell ref="B22:B26"/>
    <mergeCell ref="C22:C26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C52:C56"/>
    <mergeCell ref="A57:A61"/>
    <mergeCell ref="B57:B61"/>
    <mergeCell ref="C57:C60"/>
    <mergeCell ref="A62:A66"/>
    <mergeCell ref="B62:B66"/>
    <mergeCell ref="C62:C66"/>
    <mergeCell ref="A67:A71"/>
    <mergeCell ref="B67:B71"/>
    <mergeCell ref="C67:C71"/>
    <mergeCell ref="A72:A76"/>
    <mergeCell ref="B72:B76"/>
    <mergeCell ref="C72:C76"/>
    <mergeCell ref="A77:A81"/>
    <mergeCell ref="B77:B81"/>
    <mergeCell ref="C77:C81"/>
    <mergeCell ref="A82:A86"/>
    <mergeCell ref="B82:B86"/>
    <mergeCell ref="C82:C86"/>
    <mergeCell ref="A87:A91"/>
    <mergeCell ref="B87:B91"/>
    <mergeCell ref="C87:C91"/>
    <mergeCell ref="A92:A96"/>
    <mergeCell ref="B92:B96"/>
    <mergeCell ref="C92:C96"/>
    <mergeCell ref="A97:A101"/>
    <mergeCell ref="B97:B101"/>
    <mergeCell ref="C97:C101"/>
    <mergeCell ref="A102:A106"/>
    <mergeCell ref="B102:B106"/>
    <mergeCell ref="C102:C106"/>
    <mergeCell ref="A107:A111"/>
    <mergeCell ref="B107:B111"/>
    <mergeCell ref="C107:C111"/>
    <mergeCell ref="A112:A116"/>
    <mergeCell ref="B112:B116"/>
    <mergeCell ref="C112:C116"/>
    <mergeCell ref="A117:A121"/>
    <mergeCell ref="B117:B121"/>
    <mergeCell ref="C117:C121"/>
  </mergeCells>
  <conditionalFormatting sqref="G3">
    <cfRule type="expression" dxfId="506" priority="55">
      <formula>IF(SUM(G2:G4)&gt;5.4,1,0)</formula>
    </cfRule>
  </conditionalFormatting>
  <conditionalFormatting sqref="G4">
    <cfRule type="expression" dxfId="505" priority="56">
      <formula>IF(SUM(G2:G4)&gt;5.4,1,0)</formula>
    </cfRule>
  </conditionalFormatting>
  <conditionalFormatting sqref="G2">
    <cfRule type="expression" dxfId="504" priority="57">
      <formula>IF(SUM(G2:G4)&gt;5.4,1,0)</formula>
    </cfRule>
  </conditionalFormatting>
  <conditionalFormatting sqref="G8">
    <cfRule type="expression" dxfId="500" priority="61">
      <formula>IF(SUM(G7:G9)&gt;5.4,1,0)</formula>
    </cfRule>
  </conditionalFormatting>
  <conditionalFormatting sqref="G9">
    <cfRule type="expression" dxfId="499" priority="62">
      <formula>IF(SUM(G7:G9)&gt;5.4,1,0)</formula>
    </cfRule>
  </conditionalFormatting>
  <conditionalFormatting sqref="G7">
    <cfRule type="expression" dxfId="498" priority="63">
      <formula>IF(SUM(G7:G9)&gt;5.4,1,0)</formula>
    </cfRule>
  </conditionalFormatting>
  <conditionalFormatting sqref="G13">
    <cfRule type="expression" dxfId="497" priority="64">
      <formula>IF(SUM(G12:G14)&gt;5.4,1,0)</formula>
    </cfRule>
  </conditionalFormatting>
  <conditionalFormatting sqref="G14">
    <cfRule type="expression" dxfId="496" priority="65">
      <formula>IF(SUM(G12:G14)&gt;5.4,1,0)</formula>
    </cfRule>
  </conditionalFormatting>
  <conditionalFormatting sqref="G12">
    <cfRule type="expression" dxfId="495" priority="66">
      <formula>IF(SUM(G12:G14)&gt;5.4,1,0)</formula>
    </cfRule>
  </conditionalFormatting>
  <conditionalFormatting sqref="G18">
    <cfRule type="expression" dxfId="494" priority="67">
      <formula>IF(SUM(G17:G19)&gt;5.4,1,0)</formula>
    </cfRule>
  </conditionalFormatting>
  <conditionalFormatting sqref="G19">
    <cfRule type="expression" dxfId="493" priority="68">
      <formula>IF(SUM(G17:G19)&gt;5.4,1,0)</formula>
    </cfRule>
  </conditionalFormatting>
  <conditionalFormatting sqref="G17">
    <cfRule type="expression" dxfId="492" priority="69">
      <formula>IF(SUM(G17:G19)&gt;5.4,1,0)</formula>
    </cfRule>
  </conditionalFormatting>
  <conditionalFormatting sqref="G23">
    <cfRule type="expression" dxfId="491" priority="70">
      <formula>IF(SUM(G22:G24)&gt;5.4,1,0)</formula>
    </cfRule>
  </conditionalFormatting>
  <conditionalFormatting sqref="G24">
    <cfRule type="expression" dxfId="490" priority="71">
      <formula>IF(SUM(G22:G24)&gt;5.4,1,0)</formula>
    </cfRule>
  </conditionalFormatting>
  <conditionalFormatting sqref="G22">
    <cfRule type="expression" dxfId="489" priority="72">
      <formula>IF(SUM(G22:G24)&gt;5.4,1,0)</formula>
    </cfRule>
  </conditionalFormatting>
  <conditionalFormatting sqref="G28">
    <cfRule type="expression" dxfId="488" priority="73">
      <formula>IF(SUM(G27:G29)&gt;5.4,1,0)</formula>
    </cfRule>
  </conditionalFormatting>
  <conditionalFormatting sqref="G29">
    <cfRule type="expression" dxfId="487" priority="74">
      <formula>IF(SUM(G27:G29)&gt;5.4,1,0)</formula>
    </cfRule>
  </conditionalFormatting>
  <conditionalFormatting sqref="G27">
    <cfRule type="expression" dxfId="486" priority="75">
      <formula>IF(SUM(G27:G29)&gt;5.4,1,0)</formula>
    </cfRule>
  </conditionalFormatting>
  <conditionalFormatting sqref="G33">
    <cfRule type="expression" dxfId="485" priority="76">
      <formula>IF(SUM(G32:G34)&gt;5.4,1,0)</formula>
    </cfRule>
  </conditionalFormatting>
  <conditionalFormatting sqref="G34">
    <cfRule type="expression" dxfId="484" priority="77">
      <formula>IF(SUM(G32:G34)&gt;5.4,1,0)</formula>
    </cfRule>
  </conditionalFormatting>
  <conditionalFormatting sqref="G32">
    <cfRule type="expression" dxfId="483" priority="78">
      <formula>IF(SUM(G32:G34)&gt;5.4,1,0)</formula>
    </cfRule>
  </conditionalFormatting>
  <conditionalFormatting sqref="G38">
    <cfRule type="expression" dxfId="482" priority="79">
      <formula>IF(SUM(G37:G39)&gt;5.4,1,0)</formula>
    </cfRule>
  </conditionalFormatting>
  <conditionalFormatting sqref="G39">
    <cfRule type="expression" dxfId="481" priority="80">
      <formula>IF(SUM(G37:G39)&gt;5.4,1,0)</formula>
    </cfRule>
  </conditionalFormatting>
  <conditionalFormatting sqref="G37">
    <cfRule type="expression" dxfId="480" priority="81">
      <formula>IF(SUM(G37:G39)&gt;5.4,1,0)</formula>
    </cfRule>
  </conditionalFormatting>
  <conditionalFormatting sqref="G43">
    <cfRule type="expression" dxfId="479" priority="82">
      <formula>IF(SUM(G42:G44)&gt;5.4,1,0)</formula>
    </cfRule>
  </conditionalFormatting>
  <conditionalFormatting sqref="G44">
    <cfRule type="expression" dxfId="478" priority="83">
      <formula>IF(SUM(G42:G44)&gt;5.4,1,0)</formula>
    </cfRule>
  </conditionalFormatting>
  <conditionalFormatting sqref="G42">
    <cfRule type="expression" dxfId="477" priority="84">
      <formula>IF(SUM(G42:G44)&gt;5.4,1,0)</formula>
    </cfRule>
  </conditionalFormatting>
  <conditionalFormatting sqref="G48">
    <cfRule type="expression" dxfId="476" priority="85">
      <formula>IF(SUM(G47:G49)&gt;5.4,1,0)</formula>
    </cfRule>
  </conditionalFormatting>
  <conditionalFormatting sqref="G49">
    <cfRule type="expression" dxfId="475" priority="86">
      <formula>IF(SUM(G47:G49)&gt;5.4,1,0)</formula>
    </cfRule>
  </conditionalFormatting>
  <conditionalFormatting sqref="G47">
    <cfRule type="expression" dxfId="474" priority="87">
      <formula>IF(SUM(G47:G49)&gt;5.4,1,0)</formula>
    </cfRule>
  </conditionalFormatting>
  <conditionalFormatting sqref="G53">
    <cfRule type="expression" dxfId="473" priority="88">
      <formula>IF(SUM(G52:G54)&gt;5.4,1,0)</formula>
    </cfRule>
  </conditionalFormatting>
  <conditionalFormatting sqref="G54">
    <cfRule type="expression" dxfId="472" priority="89">
      <formula>IF(SUM(G52:G54)&gt;5.4,1,0)</formula>
    </cfRule>
  </conditionalFormatting>
  <conditionalFormatting sqref="G52">
    <cfRule type="expression" dxfId="471" priority="90">
      <formula>IF(SUM(G52:G54)&gt;5.4,1,0)</formula>
    </cfRule>
  </conditionalFormatting>
  <conditionalFormatting sqref="G58">
    <cfRule type="expression" dxfId="470" priority="91">
      <formula>IF(SUM(G57:G59)&gt;5.4,1,0)</formula>
    </cfRule>
  </conditionalFormatting>
  <conditionalFormatting sqref="G59">
    <cfRule type="expression" dxfId="469" priority="92">
      <formula>IF(SUM(G57:G59)&gt;5.4,1,0)</formula>
    </cfRule>
  </conditionalFormatting>
  <conditionalFormatting sqref="G57">
    <cfRule type="expression" dxfId="468" priority="93">
      <formula>IF(SUM(G57:G59)&gt;5.4,1,0)</formula>
    </cfRule>
  </conditionalFormatting>
  <conditionalFormatting sqref="G63">
    <cfRule type="expression" dxfId="467" priority="94">
      <formula>IF(SUM(G62:G64)&gt;5.4,1,0)</formula>
    </cfRule>
  </conditionalFormatting>
  <conditionalFormatting sqref="G64">
    <cfRule type="expression" dxfId="466" priority="95">
      <formula>IF(SUM(G62:G64)&gt;5.4,1,0)</formula>
    </cfRule>
  </conditionalFormatting>
  <conditionalFormatting sqref="G62">
    <cfRule type="expression" dxfId="465" priority="96">
      <formula>IF(SUM(G62:G64)&gt;5.4,1,0)</formula>
    </cfRule>
  </conditionalFormatting>
  <conditionalFormatting sqref="G68">
    <cfRule type="expression" dxfId="464" priority="97">
      <formula>IF(SUM(G67:G69)&gt;5.4,1,0)</formula>
    </cfRule>
  </conditionalFormatting>
  <conditionalFormatting sqref="G69">
    <cfRule type="expression" dxfId="463" priority="98">
      <formula>IF(SUM(G67:G69)&gt;5.4,1,0)</formula>
    </cfRule>
  </conditionalFormatting>
  <conditionalFormatting sqref="G67">
    <cfRule type="expression" dxfId="462" priority="99">
      <formula>IF(SUM(G67:G69)&gt;5.4,1,0)</formula>
    </cfRule>
  </conditionalFormatting>
  <conditionalFormatting sqref="G73">
    <cfRule type="expression" dxfId="461" priority="100">
      <formula>IF(SUM(G72:G74)&gt;5.4,1,0)</formula>
    </cfRule>
  </conditionalFormatting>
  <conditionalFormatting sqref="G74">
    <cfRule type="expression" dxfId="460" priority="101">
      <formula>IF(SUM(G72:G74)&gt;5.4,1,0)</formula>
    </cfRule>
  </conditionalFormatting>
  <conditionalFormatting sqref="G72">
    <cfRule type="expression" dxfId="459" priority="102">
      <formula>IF(SUM(G72:G74)&gt;5.4,1,0)</formula>
    </cfRule>
  </conditionalFormatting>
  <conditionalFormatting sqref="G78">
    <cfRule type="expression" dxfId="458" priority="103">
      <formula>IF(SUM(G77:G79)&gt;5.4,1,0)</formula>
    </cfRule>
  </conditionalFormatting>
  <conditionalFormatting sqref="G79">
    <cfRule type="expression" dxfId="457" priority="104">
      <formula>IF(SUM(G77:G79)&gt;5.4,1,0)</formula>
    </cfRule>
  </conditionalFormatting>
  <conditionalFormatting sqref="G77">
    <cfRule type="expression" dxfId="456" priority="105">
      <formula>IF(SUM(G77:G79)&gt;5.4,1,0)</formula>
    </cfRule>
  </conditionalFormatting>
  <conditionalFormatting sqref="G83">
    <cfRule type="expression" dxfId="455" priority="106">
      <formula>IF(SUM(G82:G84)&gt;5.4,1,0)</formula>
    </cfRule>
  </conditionalFormatting>
  <conditionalFormatting sqref="G84">
    <cfRule type="expression" dxfId="454" priority="107">
      <formula>IF(SUM(G82:G84)&gt;5.4,1,0)</formula>
    </cfRule>
  </conditionalFormatting>
  <conditionalFormatting sqref="G82">
    <cfRule type="expression" dxfId="453" priority="108">
      <formula>IF(SUM(G82:G84)&gt;5.4,1,0)</formula>
    </cfRule>
  </conditionalFormatting>
  <conditionalFormatting sqref="G88">
    <cfRule type="expression" dxfId="452" priority="109">
      <formula>IF(SUM(G87:G89)&gt;5.4,1,0)</formula>
    </cfRule>
  </conditionalFormatting>
  <conditionalFormatting sqref="G89">
    <cfRule type="expression" dxfId="451" priority="110">
      <formula>IF(SUM(G87:G89)&gt;5.4,1,0)</formula>
    </cfRule>
  </conditionalFormatting>
  <conditionalFormatting sqref="G87">
    <cfRule type="expression" dxfId="450" priority="111">
      <formula>IF(SUM(G87:G89)&gt;5.4,1,0)</formula>
    </cfRule>
  </conditionalFormatting>
  <conditionalFormatting sqref="G93">
    <cfRule type="expression" dxfId="449" priority="112">
      <formula>IF(SUM(G92:G94)&gt;5.4,1,0)</formula>
    </cfRule>
  </conditionalFormatting>
  <conditionalFormatting sqref="G94">
    <cfRule type="expression" dxfId="448" priority="113">
      <formula>IF(SUM(G92:G94)&gt;5.4,1,0)</formula>
    </cfRule>
  </conditionalFormatting>
  <conditionalFormatting sqref="G92">
    <cfRule type="expression" dxfId="447" priority="114">
      <formula>IF(SUM(G92:G94)&gt;5.4,1,0)</formula>
    </cfRule>
  </conditionalFormatting>
  <conditionalFormatting sqref="G98">
    <cfRule type="expression" dxfId="446" priority="115">
      <formula>IF(SUM(G97:G99)&gt;5.4,1,0)</formula>
    </cfRule>
  </conditionalFormatting>
  <conditionalFormatting sqref="G99">
    <cfRule type="expression" dxfId="445" priority="116">
      <formula>IF(SUM(G97:G99)&gt;5.4,1,0)</formula>
    </cfRule>
  </conditionalFormatting>
  <conditionalFormatting sqref="G97">
    <cfRule type="expression" dxfId="444" priority="117">
      <formula>IF(SUM(G97:G99)&gt;5.4,1,0)</formula>
    </cfRule>
  </conditionalFormatting>
  <conditionalFormatting sqref="G103">
    <cfRule type="expression" dxfId="443" priority="118">
      <formula>IF(SUM(G102:G104)&gt;5.4,1,0)</formula>
    </cfRule>
  </conditionalFormatting>
  <conditionalFormatting sqref="G104">
    <cfRule type="expression" dxfId="442" priority="119">
      <formula>IF(SUM(G102:G104)&gt;5.4,1,0)</formula>
    </cfRule>
  </conditionalFormatting>
  <conditionalFormatting sqref="G102">
    <cfRule type="expression" dxfId="441" priority="120">
      <formula>IF(SUM(G102:G104)&gt;5.4,1,0)</formula>
    </cfRule>
  </conditionalFormatting>
  <conditionalFormatting sqref="G108">
    <cfRule type="expression" dxfId="440" priority="121">
      <formula>IF(SUM(G107:G109)&gt;5.4,1,0)</formula>
    </cfRule>
  </conditionalFormatting>
  <conditionalFormatting sqref="G109">
    <cfRule type="expression" dxfId="439" priority="122">
      <formula>IF(SUM(G107:G109)&gt;5.4,1,0)</formula>
    </cfRule>
  </conditionalFormatting>
  <conditionalFormatting sqref="E71">
    <cfRule type="expression" dxfId="390" priority="171">
      <formula>IF(E71="",0,IF(OR(LEFT(E71,LEN(E71)-1)=LEFT(E70,LEN(E70)-1),LEFT(E71,LEN(E71)-1)=LEFT(E69,LEN(E69)-1),LEFT(E71,LEN(E71)-1)=LEFT(E68,LEN(E68)-1),LEFT(E71,LEN(E71)-1)=LEFT(E67,LEN(E67)-1),LEFT(E71,1)=LEFT(E70,1)),1,0))</formula>
    </cfRule>
  </conditionalFormatting>
  <conditionalFormatting sqref="E68">
    <cfRule type="expression" dxfId="389" priority="172">
      <formula>IF(E68="",0,IF(LEFT(E68,1)=LEFT(E67,1),1,0))</formula>
    </cfRule>
  </conditionalFormatting>
  <conditionalFormatting sqref="E69">
    <cfRule type="expression" dxfId="388" priority="173">
      <formula>IF(E69="",0,IF(OR(LEFT(E69,1)=LEFT(E68,1),LEFT(E69,1)=LEFT(E67,1)),1,0))</formula>
    </cfRule>
  </conditionalFormatting>
  <conditionalFormatting sqref="E70">
    <cfRule type="expression" dxfId="387" priority="174">
      <formula>IF(E70="",0,IF(OR(LEFT(E70,LEN(E70)-1)=LEFT(E69,LEN(E69)-1),LEFT(E70,LEN(E70)-1)=LEFT(E68,LEN(E68)-1),LEFT(E70,LEN(E70)-1)=LEFT(E67,LEN(E67)-1)),1,0))</formula>
    </cfRule>
  </conditionalFormatting>
  <conditionalFormatting sqref="E76">
    <cfRule type="expression" dxfId="386" priority="175">
      <formula>IF(E76="",0,IF(OR(LEFT(E76,LEN(E76)-1)=LEFT(E75,LEN(E75)-1),LEFT(E76,LEN(E76)-1)=LEFT(E74,LEN(E74)-1),LEFT(E76,LEN(E76)-1)=LEFT(E73,LEN(E73)-1),LEFT(E76,LEN(E76)-1)=LEFT(E72,LEN(E72)-1),LEFT(E76,1)=LEFT(E75,1)),1,0))</formula>
    </cfRule>
  </conditionalFormatting>
  <conditionalFormatting sqref="E73">
    <cfRule type="expression" dxfId="385" priority="176">
      <formula>IF(E73="",0,IF(LEFT(E73,1)=LEFT(E72,1),1,0))</formula>
    </cfRule>
  </conditionalFormatting>
  <conditionalFormatting sqref="E74">
    <cfRule type="expression" dxfId="384" priority="177">
      <formula>IF(E74="",0,IF(OR(LEFT(E74,1)=LEFT(E73,1),LEFT(E74,1)=LEFT(E72,1)),1,0))</formula>
    </cfRule>
  </conditionalFormatting>
  <conditionalFormatting sqref="E75">
    <cfRule type="expression" dxfId="383" priority="178">
      <formula>IF(E75="",0,IF(OR(LEFT(E75,LEN(E75)-1)=LEFT(E74,LEN(E74)-1),LEFT(E75,LEN(E75)-1)=LEFT(E73,LEN(E73)-1),LEFT(E75,LEN(E75)-1)=LEFT(E72,LEN(E72)-1)),1,0))</formula>
    </cfRule>
  </conditionalFormatting>
  <conditionalFormatting sqref="E81">
    <cfRule type="expression" dxfId="382" priority="179">
      <formula>IF(E81="",0,IF(OR(LEFT(E81,LEN(E81)-1)=LEFT(E80,LEN(E80)-1),LEFT(E81,LEN(E81)-1)=LEFT(E79,LEN(E79)-1),LEFT(E81,LEN(E81)-1)=LEFT(E78,LEN(E78)-1),LEFT(E81,LEN(E81)-1)=LEFT(E77,LEN(E77)-1),LEFT(E81,1)=LEFT(E80,1)),1,0))</formula>
    </cfRule>
  </conditionalFormatting>
  <conditionalFormatting sqref="E78">
    <cfRule type="expression" dxfId="381" priority="180">
      <formula>IF(E78="",0,IF(LEFT(E78,1)=LEFT(E77,1),1,0))</formula>
    </cfRule>
  </conditionalFormatting>
  <conditionalFormatting sqref="E79">
    <cfRule type="expression" dxfId="380" priority="181">
      <formula>IF(E79="",0,IF(OR(LEFT(E79,1)=LEFT(E78,1),LEFT(E79,1)=LEFT(E77,1)),1,0))</formula>
    </cfRule>
  </conditionalFormatting>
  <conditionalFormatting sqref="E80">
    <cfRule type="expression" dxfId="379" priority="182">
      <formula>IF(E80="",0,IF(OR(LEFT(E80,LEN(E80)-1)=LEFT(E79,LEN(E79)-1),LEFT(E80,LEN(E80)-1)=LEFT(E78,LEN(E78)-1),LEFT(E80,LEN(E80)-1)=LEFT(E77,LEN(E77)-1)),1,0))</formula>
    </cfRule>
  </conditionalFormatting>
  <conditionalFormatting sqref="E86">
    <cfRule type="expression" dxfId="378" priority="183">
      <formula>IF(E86="",0,IF(OR(LEFT(E86,LEN(E86)-1)=LEFT(E85,LEN(E85)-1),LEFT(E86,LEN(E86)-1)=LEFT(E84,LEN(E84)-1),LEFT(E86,LEN(E86)-1)=LEFT(E83,LEN(E83)-1),LEFT(E86,LEN(E86)-1)=LEFT(E82,LEN(E82)-1),LEFT(E86,1)=LEFT(E85,1)),1,0))</formula>
    </cfRule>
  </conditionalFormatting>
  <conditionalFormatting sqref="E83">
    <cfRule type="expression" dxfId="377" priority="184">
      <formula>IF(E83="",0,IF(LEFT(E83,1)=LEFT(E82,1),1,0))</formula>
    </cfRule>
  </conditionalFormatting>
  <conditionalFormatting sqref="E84">
    <cfRule type="expression" dxfId="376" priority="185">
      <formula>IF(E84="",0,IF(OR(LEFT(E84,1)=LEFT(E83,1),LEFT(E84,1)=LEFT(E82,1)),1,0))</formula>
    </cfRule>
  </conditionalFormatting>
  <conditionalFormatting sqref="E85">
    <cfRule type="expression" dxfId="375" priority="186">
      <formula>IF(E85="",0,IF(OR(LEFT(E85,LEN(E85)-1)=LEFT(E84,LEN(E84)-1),LEFT(E85,LEN(E85)-1)=LEFT(E83,LEN(E83)-1),LEFT(E85,LEN(E85)-1)=LEFT(E82,LEN(E82)-1)),1,0))</formula>
    </cfRule>
  </conditionalFormatting>
  <conditionalFormatting sqref="E91">
    <cfRule type="expression" dxfId="374" priority="187">
      <formula>IF(E91="",0,IF(OR(LEFT(E91,LEN(E91)-1)=LEFT(E90,LEN(E90)-1),LEFT(E91,LEN(E91)-1)=LEFT(E89,LEN(E89)-1),LEFT(E91,LEN(E91)-1)=LEFT(E88,LEN(E88)-1),LEFT(E91,LEN(E91)-1)=LEFT(E87,LEN(E87)-1),LEFT(E91,1)=LEFT(E90,1)),1,0))</formula>
    </cfRule>
  </conditionalFormatting>
  <conditionalFormatting sqref="E88">
    <cfRule type="expression" dxfId="373" priority="188">
      <formula>IF(E88="",0,IF(LEFT(E88,1)=LEFT(E87,1),1,0))</formula>
    </cfRule>
  </conditionalFormatting>
  <conditionalFormatting sqref="E89">
    <cfRule type="expression" dxfId="372" priority="189">
      <formula>IF(E89="",0,IF(OR(LEFT(E89,1)=LEFT(E88,1),LEFT(E89,1)=LEFT(E87,1)),1,0))</formula>
    </cfRule>
  </conditionalFormatting>
  <conditionalFormatting sqref="E90">
    <cfRule type="expression" dxfId="371" priority="190">
      <formula>IF(E90="",0,IF(OR(LEFT(E90,LEN(E90)-1)=LEFT(E89,LEN(E89)-1),LEFT(E90,LEN(E90)-1)=LEFT(E88,LEN(E88)-1),LEFT(E90,LEN(E90)-1)=LEFT(E87,LEN(E87)-1)),1,0))</formula>
    </cfRule>
  </conditionalFormatting>
  <conditionalFormatting sqref="E96">
    <cfRule type="expression" dxfId="370" priority="191">
      <formula>IF(E96="",0,IF(OR(LEFT(E96,LEN(E96)-1)=LEFT(E95,LEN(E95)-1),LEFT(E96,LEN(E96)-1)=LEFT(E94,LEN(E94)-1),LEFT(E96,LEN(E96)-1)=LEFT(E93,LEN(E93)-1),LEFT(E96,LEN(E96)-1)=LEFT(E92,LEN(E92)-1),LEFT(E96,1)=LEFT(E95,1)),1,0))</formula>
    </cfRule>
  </conditionalFormatting>
  <conditionalFormatting sqref="E93">
    <cfRule type="expression" dxfId="369" priority="192">
      <formula>IF(E93="",0,IF(LEFT(E93,1)=LEFT(E92,1),1,0))</formula>
    </cfRule>
  </conditionalFormatting>
  <conditionalFormatting sqref="E94">
    <cfRule type="expression" dxfId="368" priority="193">
      <formula>IF(E94="",0,IF(OR(LEFT(E94,1)=LEFT(E93,1),LEFT(E94,1)=LEFT(E92,1)),1,0))</formula>
    </cfRule>
  </conditionalFormatting>
  <conditionalFormatting sqref="E95">
    <cfRule type="expression" dxfId="367" priority="194">
      <formula>IF(E95="",0,IF(OR(LEFT(E95,LEN(E95)-1)=LEFT(E94,LEN(E94)-1),LEFT(E95,LEN(E95)-1)=LEFT(E93,LEN(E93)-1),LEFT(E95,LEN(E95)-1)=LEFT(E92,LEN(E92)-1)),1,0))</formula>
    </cfRule>
  </conditionalFormatting>
  <conditionalFormatting sqref="E101">
    <cfRule type="expression" dxfId="366" priority="195">
      <formula>IF(E101="",0,IF(OR(LEFT(E101,LEN(E101)-1)=LEFT(E100,LEN(E100)-1),LEFT(E101,LEN(E101)-1)=LEFT(E99,LEN(E99)-1),LEFT(E101,LEN(E101)-1)=LEFT(E98,LEN(E98)-1),LEFT(E101,LEN(E101)-1)=LEFT(E97,LEN(E97)-1),LEFT(E101,1)=LEFT(E100,1)),1,0))</formula>
    </cfRule>
  </conditionalFormatting>
  <conditionalFormatting sqref="E98">
    <cfRule type="expression" dxfId="365" priority="196">
      <formula>IF(E98="",0,IF(LEFT(E98,1)=LEFT(E97,1),1,0))</formula>
    </cfRule>
  </conditionalFormatting>
  <conditionalFormatting sqref="E99">
    <cfRule type="expression" dxfId="364" priority="197">
      <formula>IF(E99="",0,IF(OR(LEFT(E99,1)=LEFT(E98,1),LEFT(E99,1)=LEFT(E97,1)),1,0))</formula>
    </cfRule>
  </conditionalFormatting>
  <conditionalFormatting sqref="E100">
    <cfRule type="expression" dxfId="363" priority="198">
      <formula>IF(E100="",0,IF(OR(LEFT(E100,LEN(E100)-1)=LEFT(E99,LEN(E99)-1),LEFT(E100,LEN(E100)-1)=LEFT(E98,LEN(E98)-1),LEFT(E100,LEN(E100)-1)=LEFT(E97,LEN(E97)-1)),1,0))</formula>
    </cfRule>
  </conditionalFormatting>
  <conditionalFormatting sqref="E106">
    <cfRule type="expression" dxfId="362" priority="199">
      <formula>IF(E106="",0,IF(OR(LEFT(E106,LEN(E106)-1)=LEFT(E105,LEN(E105)-1),LEFT(E106,LEN(E106)-1)=LEFT(E104,LEN(E104)-1),LEFT(E106,LEN(E106)-1)=LEFT(E103,LEN(E103)-1),LEFT(E106,LEN(E106)-1)=LEFT(E102,LEN(E102)-1),LEFT(E106,1)=LEFT(E105,1)),1,0))</formula>
    </cfRule>
  </conditionalFormatting>
  <conditionalFormatting sqref="E103">
    <cfRule type="expression" dxfId="361" priority="200">
      <formula>IF(E103="",0,IF(LEFT(E103,1)=LEFT(E102,1),1,0))</formula>
    </cfRule>
  </conditionalFormatting>
  <conditionalFormatting sqref="E104">
    <cfRule type="expression" dxfId="360" priority="201">
      <formula>IF(E104="",0,IF(OR(LEFT(E104,1)=LEFT(E103,1),LEFT(E104,1)=LEFT(E102,1)),1,0))</formula>
    </cfRule>
  </conditionalFormatting>
  <conditionalFormatting sqref="E105">
    <cfRule type="expression" dxfId="359" priority="202">
      <formula>IF(E105="",0,IF(OR(LEFT(E105,LEN(E105)-1)=LEFT(E104,LEN(E104)-1),LEFT(E105,LEN(E105)-1)=LEFT(E103,LEN(E103)-1),LEFT(E105,LEN(E105)-1)=LEFT(E102,LEN(E102)-1)),1,0))</formula>
    </cfRule>
  </conditionalFormatting>
  <conditionalFormatting sqref="E111">
    <cfRule type="expression" dxfId="358" priority="203">
      <formula>IF(E111="",0,IF(OR(LEFT(E111,LEN(E111)-1)=LEFT(E110,LEN(E110)-1),LEFT(E111,LEN(E111)-1)=LEFT(E109,LEN(E109)-1),LEFT(E111,LEN(E111)-1)=LEFT(E108,LEN(E108)-1),LEFT(E111,LEN(E111)-1)=LEFT(E107,LEN(E107)-1),LEFT(E111,1)=LEFT(E110,1)),1,0))</formula>
    </cfRule>
  </conditionalFormatting>
  <conditionalFormatting sqref="E108">
    <cfRule type="expression" dxfId="357" priority="204">
      <formula>IF(E108="",0,IF(LEFT(E108,1)=LEFT(E107,1),1,0))</formula>
    </cfRule>
  </conditionalFormatting>
  <conditionalFormatting sqref="E109">
    <cfRule type="expression" dxfId="356" priority="205">
      <formula>IF(E109="",0,IF(OR(LEFT(E109,1)=LEFT(E108,1),LEFT(E109,1)=LEFT(E107,1)),1,0))</formula>
    </cfRule>
  </conditionalFormatting>
  <conditionalFormatting sqref="E110">
    <cfRule type="expression" dxfId="355" priority="206">
      <formula>IF(E110="",0,IF(OR(LEFT(E110,LEN(E110)-1)=LEFT(E109,LEN(E109)-1),LEFT(E110,LEN(E110)-1)=LEFT(E108,LEN(E108)-1),LEFT(E110,LEN(E110)-1)=LEFT(E107,LEN(E107)-1)),1,0))</formula>
    </cfRule>
  </conditionalFormatting>
  <conditionalFormatting sqref="E116">
    <cfRule type="expression" dxfId="354" priority="207">
      <formula>IF(E116="",0,IF(OR(LEFT(E116,LEN(E116)-1)=LEFT(E115,LEN(E115)-1),LEFT(E116,LEN(E116)-1)=LEFT(E114,LEN(E114)-1),LEFT(E116,LEN(E116)-1)=LEFT(E113,LEN(E113)-1),LEFT(E116,LEN(E116)-1)=LEFT(E112,LEN(E112)-1),LEFT(E116,1)=LEFT(E115,1)),1,0))</formula>
    </cfRule>
  </conditionalFormatting>
  <conditionalFormatting sqref="E113">
    <cfRule type="expression" dxfId="353" priority="208">
      <formula>IF(E113="",0,IF(LEFT(E113,1)=LEFT(E112,1),1,0))</formula>
    </cfRule>
  </conditionalFormatting>
  <conditionalFormatting sqref="E114">
    <cfRule type="expression" dxfId="352" priority="209">
      <formula>IF(E114="",0,IF(OR(LEFT(E114,1)=LEFT(E113,1),LEFT(E114,1)=LEFT(E112,1)),1,0))</formula>
    </cfRule>
  </conditionalFormatting>
  <conditionalFormatting sqref="E115">
    <cfRule type="expression" dxfId="351" priority="210">
      <formula>IF(E115="",0,IF(OR(LEFT(E115,LEN(E115)-1)=LEFT(E114,LEN(E114)-1),LEFT(E115,LEN(E115)-1)=LEFT(E113,LEN(E113)-1),LEFT(E115,LEN(E115)-1)=LEFT(E112,LEN(E112)-1)),1,0))</formula>
    </cfRule>
  </conditionalFormatting>
  <conditionalFormatting sqref="E121">
    <cfRule type="expression" dxfId="350" priority="211">
      <formula>IF(E121="",0,IF(OR(LEFT(E121,LEN(E121)-1)=LEFT(E120,LEN(E120)-1),LEFT(E121,LEN(E121)-1)=LEFT(E119,LEN(E119)-1),LEFT(E121,LEN(E121)-1)=LEFT(E118,LEN(E118)-1),LEFT(E121,LEN(E121)-1)=LEFT(E117,LEN(E117)-1),LEFT(E121,1)=LEFT(E120,1)),1,0))</formula>
    </cfRule>
  </conditionalFormatting>
  <conditionalFormatting sqref="E118">
    <cfRule type="expression" dxfId="349" priority="212">
      <formula>IF(E118="",0,IF(LEFT(E118,1)=LEFT(E117,1),1,0))</formula>
    </cfRule>
  </conditionalFormatting>
  <conditionalFormatting sqref="E119">
    <cfRule type="expression" dxfId="348" priority="213">
      <formula>IF(E119="",0,IF(OR(LEFT(E119,1)=LEFT(E118,1),LEFT(E119,1)=LEFT(E117,1)),1,0))</formula>
    </cfRule>
  </conditionalFormatting>
  <conditionalFormatting sqref="E120">
    <cfRule type="expression" dxfId="347" priority="214">
      <formula>IF(E120="",0,IF(OR(LEFT(E120,LEN(E120)-1)=LEFT(E119,LEN(E119)-1),LEFT(E120,LEN(E120)-1)=LEFT(E118,LEN(E118)-1),LEFT(E120,LEN(E120)-1)=LEFT(E117,LEN(E117)-1)),1,0))</formula>
    </cfRule>
  </conditionalFormatting>
  <conditionalFormatting sqref="G107">
    <cfRule type="expression" dxfId="346" priority="215">
      <formula>IF(SUM(G107:G109)&gt;5.4,1,0)</formula>
    </cfRule>
  </conditionalFormatting>
  <conditionalFormatting sqref="G113">
    <cfRule type="expression" dxfId="345" priority="216">
      <formula>IF(SUM(G112:G114)&gt;5.4,1,0)</formula>
    </cfRule>
  </conditionalFormatting>
  <conditionalFormatting sqref="G114">
    <cfRule type="expression" dxfId="344" priority="217">
      <formula>IF(SUM(G112:G114)&gt;5.4,1,0)</formula>
    </cfRule>
  </conditionalFormatting>
  <conditionalFormatting sqref="G112">
    <cfRule type="expression" dxfId="343" priority="218">
      <formula>IF(SUM(G112:G114)&gt;5.4,1,0)</formula>
    </cfRule>
  </conditionalFormatting>
  <conditionalFormatting sqref="G118">
    <cfRule type="expression" dxfId="342" priority="219">
      <formula>IF(SUM(G117:G119)&gt;5.4,1,0)</formula>
    </cfRule>
  </conditionalFormatting>
  <conditionalFormatting sqref="G119">
    <cfRule type="expression" dxfId="341" priority="220">
      <formula>IF(SUM(G117:G119)&gt;5.4,1,0)</formula>
    </cfRule>
  </conditionalFormatting>
  <conditionalFormatting sqref="G117">
    <cfRule type="expression" dxfId="340" priority="221">
      <formula>IF(SUM(G117:G119)&gt;5.4,1,0)</formula>
    </cfRule>
  </conditionalFormatting>
  <conditionalFormatting sqref="E6">
    <cfRule type="expression" dxfId="103" priority="49">
      <formula>IF(E6="",FALSE,IF(OR(LEFT(E6,LEN(E6)-1)=LEFT(E5,LEN(E5)-1),LEFT(E6,LEN(E6)-1)=LEFT(E4,LEN(E4)-1),LEFT(E6,LEN(E6)-1)=LEFT(E3,LEN(E3)-1),LEFT(E6,LEN(E6)-1)=LEFT(E2,LEN(E2)-1),LEFT(E6,1)=LEFT(E5,1)),TRUE,FALSE))</formula>
    </cfRule>
  </conditionalFormatting>
  <conditionalFormatting sqref="E3">
    <cfRule type="expression" dxfId="101" priority="52">
      <formula>IF(E3="",FALSE,IF(LEFT(E3,1)=LEFT(E2,1),TRUE,FALSE))</formula>
    </cfRule>
  </conditionalFormatting>
  <conditionalFormatting sqref="E4">
    <cfRule type="expression" dxfId="99" priority="51">
      <formula>IF(E4="",FALSE,IF(OR(LEFT(E4,1)=LEFT(E3,1),LEFT(E4,1)=LEFT(E2,1)),TRUE,FALSE))</formula>
    </cfRule>
  </conditionalFormatting>
  <conditionalFormatting sqref="E5">
    <cfRule type="expression" dxfId="97" priority="50">
      <formula>IF(E5="",FALSE,IF(OR(LEFT(E5,LEN(E5)-1)=LEFT(E4,LEN(E4)-1),LEFT(E5,LEN(E5)-1)=LEFT(E3,LEN(E3)-1),LEFT(E5,LEN(E5)-1)=LEFT(E2,LEN(E2)-1)),TRUE,FALSE))</formula>
    </cfRule>
  </conditionalFormatting>
  <conditionalFormatting sqref="E11">
    <cfRule type="expression" dxfId="95" priority="45">
      <formula>IF(E11="",FALSE,IF(OR(LEFT(E11,LEN(E11)-1)=LEFT(E10,LEN(E10)-1),LEFT(E11,LEN(E11)-1)=LEFT(E9,LEN(E9)-1),LEFT(E11,LEN(E11)-1)=LEFT(E8,LEN(E8)-1),LEFT(E11,LEN(E11)-1)=LEFT(E7,LEN(E7)-1),LEFT(E11,1)=LEFT(E10,1)),TRUE,FALSE))</formula>
    </cfRule>
  </conditionalFormatting>
  <conditionalFormatting sqref="E8">
    <cfRule type="expression" dxfId="93" priority="48">
      <formula>IF(E8="",FALSE,IF(LEFT(E8,1)=LEFT(E7,1),TRUE,FALSE))</formula>
    </cfRule>
  </conditionalFormatting>
  <conditionalFormatting sqref="E9">
    <cfRule type="expression" dxfId="91" priority="47">
      <formula>IF(E9="",FALSE,IF(OR(LEFT(E9,1)=LEFT(E8,1),LEFT(E9,1)=LEFT(E7,1)),TRUE,FALSE))</formula>
    </cfRule>
  </conditionalFormatting>
  <conditionalFormatting sqref="E10">
    <cfRule type="expression" dxfId="89" priority="46">
      <formula>IF(E10="",FALSE,IF(OR(LEFT(E10,LEN(E10)-1)=LEFT(E9,LEN(E9)-1),LEFT(E10,LEN(E10)-1)=LEFT(E8,LEN(E8)-1),LEFT(E10,LEN(E10)-1)=LEFT(E7,LEN(E7)-1)),TRUE,FALSE))</formula>
    </cfRule>
  </conditionalFormatting>
  <conditionalFormatting sqref="E16">
    <cfRule type="expression" dxfId="87" priority="41">
      <formula>IF(E16="",FALSE,IF(OR(LEFT(E16,LEN(E16)-1)=LEFT(E15,LEN(E15)-1),LEFT(E16,LEN(E16)-1)=LEFT(E14,LEN(E14)-1),LEFT(E16,LEN(E16)-1)=LEFT(E13,LEN(E13)-1),LEFT(E16,LEN(E16)-1)=LEFT(E12,LEN(E12)-1),LEFT(E16,1)=LEFT(E15,1)),TRUE,FALSE))</formula>
    </cfRule>
  </conditionalFormatting>
  <conditionalFormatting sqref="E13">
    <cfRule type="expression" dxfId="85" priority="44">
      <formula>IF(E13="",FALSE,IF(LEFT(E13,1)=LEFT(E12,1),TRUE,FALSE))</formula>
    </cfRule>
  </conditionalFormatting>
  <conditionalFormatting sqref="E14">
    <cfRule type="expression" dxfId="83" priority="43">
      <formula>IF(E14="",FALSE,IF(OR(LEFT(E14,1)=LEFT(E13,1),LEFT(E14,1)=LEFT(E12,1)),TRUE,FALSE))</formula>
    </cfRule>
  </conditionalFormatting>
  <conditionalFormatting sqref="E15">
    <cfRule type="expression" dxfId="81" priority="42">
      <formula>IF(E15="",FALSE,IF(OR(LEFT(E15,LEN(E15)-1)=LEFT(E14,LEN(E14)-1),LEFT(E15,LEN(E15)-1)=LEFT(E13,LEN(E13)-1),LEFT(E15,LEN(E15)-1)=LEFT(E12,LEN(E12)-1)),TRUE,FALSE))</formula>
    </cfRule>
  </conditionalFormatting>
  <conditionalFormatting sqref="E21">
    <cfRule type="expression" dxfId="79" priority="37">
      <formula>IF(E21="",FALSE,IF(OR(LEFT(E21,LEN(E21)-1)=LEFT(E20,LEN(E20)-1),LEFT(E21,LEN(E21)-1)=LEFT(E19,LEN(E19)-1),LEFT(E21,LEN(E21)-1)=LEFT(E18,LEN(E18)-1),LEFT(E21,LEN(E21)-1)=LEFT(E17,LEN(E17)-1),LEFT(E21,1)=LEFT(E20,1)),TRUE,FALSE))</formula>
    </cfRule>
  </conditionalFormatting>
  <conditionalFormatting sqref="E18">
    <cfRule type="expression" dxfId="77" priority="40">
      <formula>IF(E18="",FALSE,IF(LEFT(E18,1)=LEFT(E17,1),TRUE,FALSE))</formula>
    </cfRule>
  </conditionalFormatting>
  <conditionalFormatting sqref="E19">
    <cfRule type="expression" dxfId="75" priority="39">
      <formula>IF(E19="",FALSE,IF(OR(LEFT(E19,1)=LEFT(E18,1),LEFT(E19,1)=LEFT(E17,1)),TRUE,FALSE))</formula>
    </cfRule>
  </conditionalFormatting>
  <conditionalFormatting sqref="E20">
    <cfRule type="expression" dxfId="73" priority="38">
      <formula>IF(E20="",FALSE,IF(OR(LEFT(E20,LEN(E20)-1)=LEFT(E19,LEN(E19)-1),LEFT(E20,LEN(E20)-1)=LEFT(E18,LEN(E18)-1),LEFT(E20,LEN(E20)-1)=LEFT(E17,LEN(E17)-1)),TRUE,FALSE))</formula>
    </cfRule>
  </conditionalFormatting>
  <conditionalFormatting sqref="E26">
    <cfRule type="expression" dxfId="71" priority="33">
      <formula>IF(E26="",FALSE,IF(OR(LEFT(E26,LEN(E26)-1)=LEFT(E25,LEN(E25)-1),LEFT(E26,LEN(E26)-1)=LEFT(E24,LEN(E24)-1),LEFT(E26,LEN(E26)-1)=LEFT(E23,LEN(E23)-1),LEFT(E26,LEN(E26)-1)=LEFT(E22,LEN(E22)-1),LEFT(E26,1)=LEFT(E25,1)),TRUE,FALSE))</formula>
    </cfRule>
  </conditionalFormatting>
  <conditionalFormatting sqref="E23">
    <cfRule type="expression" dxfId="69" priority="36">
      <formula>IF(E23="",FALSE,IF(LEFT(E23,1)=LEFT(E22,1),TRUE,FALSE))</formula>
    </cfRule>
  </conditionalFormatting>
  <conditionalFormatting sqref="E24">
    <cfRule type="expression" dxfId="67" priority="35">
      <formula>IF(E24="",FALSE,IF(OR(LEFT(E24,1)=LEFT(E23,1),LEFT(E24,1)=LEFT(E22,1)),TRUE,FALSE))</formula>
    </cfRule>
  </conditionalFormatting>
  <conditionalFormatting sqref="E25">
    <cfRule type="expression" dxfId="65" priority="34">
      <formula>IF(E25="",FALSE,IF(OR(LEFT(E25,LEN(E25)-1)=LEFT(E24,LEN(E24)-1),LEFT(E25,LEN(E25)-1)=LEFT(E23,LEN(E23)-1),LEFT(E25,LEN(E25)-1)=LEFT(E22,LEN(E22)-1)),TRUE,FALSE))</formula>
    </cfRule>
  </conditionalFormatting>
  <conditionalFormatting sqref="E31">
    <cfRule type="expression" dxfId="63" priority="29">
      <formula>IF(E31="",FALSE,IF(OR(LEFT(E31,LEN(E31)-1)=LEFT(E30,LEN(E30)-1),LEFT(E31,LEN(E31)-1)=LEFT(E29,LEN(E29)-1),LEFT(E31,LEN(E31)-1)=LEFT(E28,LEN(E28)-1),LEFT(E31,LEN(E31)-1)=LEFT(E27,LEN(E27)-1),LEFT(E31,1)=LEFT(E30,1)),TRUE,FALSE))</formula>
    </cfRule>
  </conditionalFormatting>
  <conditionalFormatting sqref="E28">
    <cfRule type="expression" dxfId="61" priority="32">
      <formula>IF(E28="",FALSE,IF(LEFT(E28,1)=LEFT(E27,1),TRUE,FALSE))</formula>
    </cfRule>
  </conditionalFormatting>
  <conditionalFormatting sqref="E29">
    <cfRule type="expression" dxfId="59" priority="31">
      <formula>IF(E29="",FALSE,IF(OR(LEFT(E29,1)=LEFT(E28,1),LEFT(E29,1)=LEFT(E27,1)),TRUE,FALSE))</formula>
    </cfRule>
  </conditionalFormatting>
  <conditionalFormatting sqref="E30">
    <cfRule type="expression" dxfId="57" priority="30">
      <formula>IF(E30="",FALSE,IF(OR(LEFT(E30,LEN(E30)-1)=LEFT(E29,LEN(E29)-1),LEFT(E30,LEN(E30)-1)=LEFT(E28,LEN(E28)-1),LEFT(E30,LEN(E30)-1)=LEFT(E27,LEN(E27)-1)),TRUE,FALSE))</formula>
    </cfRule>
  </conditionalFormatting>
  <conditionalFormatting sqref="E36">
    <cfRule type="expression" dxfId="55" priority="25">
      <formula>IF(E36="",FALSE,IF(OR(LEFT(E36,LEN(E36)-1)=LEFT(E35,LEN(E35)-1),LEFT(E36,LEN(E36)-1)=LEFT(E34,LEN(E34)-1),LEFT(E36,LEN(E36)-1)=LEFT(E33,LEN(E33)-1),LEFT(E36,LEN(E36)-1)=LEFT(E32,LEN(E32)-1),LEFT(E36,1)=LEFT(E35,1)),TRUE,FALSE))</formula>
    </cfRule>
  </conditionalFormatting>
  <conditionalFormatting sqref="E33">
    <cfRule type="expression" dxfId="53" priority="28">
      <formula>IF(E33="",FALSE,IF(LEFT(E33,1)=LEFT(E32,1),TRUE,FALSE))</formula>
    </cfRule>
  </conditionalFormatting>
  <conditionalFormatting sqref="E34">
    <cfRule type="expression" dxfId="51" priority="27">
      <formula>IF(E34="",FALSE,IF(OR(LEFT(E34,1)=LEFT(E33,1),LEFT(E34,1)=LEFT(E32,1)),TRUE,FALSE))</formula>
    </cfRule>
  </conditionalFormatting>
  <conditionalFormatting sqref="E35">
    <cfRule type="expression" dxfId="49" priority="26">
      <formula>IF(E35="",FALSE,IF(OR(LEFT(E35,LEN(E35)-1)=LEFT(E34,LEN(E34)-1),LEFT(E35,LEN(E35)-1)=LEFT(E33,LEN(E33)-1),LEFT(E35,LEN(E35)-1)=LEFT(E32,LEN(E32)-1)),TRUE,FALSE))</formula>
    </cfRule>
  </conditionalFormatting>
  <conditionalFormatting sqref="E41">
    <cfRule type="expression" dxfId="47" priority="21">
      <formula>IF(E41="",FALSE,IF(OR(LEFT(E41,LEN(E41)-1)=LEFT(E40,LEN(E40)-1),LEFT(E41,LEN(E41)-1)=LEFT(E39,LEN(E39)-1),LEFT(E41,LEN(E41)-1)=LEFT(E38,LEN(E38)-1),LEFT(E41,LEN(E41)-1)=LEFT(E37,LEN(E37)-1),LEFT(E41,1)=LEFT(E40,1)),TRUE,FALSE))</formula>
    </cfRule>
  </conditionalFormatting>
  <conditionalFormatting sqref="E38">
    <cfRule type="expression" dxfId="45" priority="24">
      <formula>IF(E38="",FALSE,IF(LEFT(E38,1)=LEFT(E37,1),TRUE,FALSE))</formula>
    </cfRule>
  </conditionalFormatting>
  <conditionalFormatting sqref="E39">
    <cfRule type="expression" dxfId="43" priority="23">
      <formula>IF(E39="",FALSE,IF(OR(LEFT(E39,1)=LEFT(E38,1),LEFT(E39,1)=LEFT(E37,1)),TRUE,FALSE))</formula>
    </cfRule>
  </conditionalFormatting>
  <conditionalFormatting sqref="E40">
    <cfRule type="expression" dxfId="41" priority="22">
      <formula>IF(E40="",FALSE,IF(OR(LEFT(E40,LEN(E40)-1)=LEFT(E39,LEN(E39)-1),LEFT(E40,LEN(E40)-1)=LEFT(E38,LEN(E38)-1),LEFT(E40,LEN(E40)-1)=LEFT(E37,LEN(E37)-1)),TRUE,FALSE))</formula>
    </cfRule>
  </conditionalFormatting>
  <conditionalFormatting sqref="E46">
    <cfRule type="expression" dxfId="39" priority="17">
      <formula>IF(E46="",FALSE,IF(OR(LEFT(E46,LEN(E46)-1)=LEFT(E45,LEN(E45)-1),LEFT(E46,LEN(E46)-1)=LEFT(E44,LEN(E44)-1),LEFT(E46,LEN(E46)-1)=LEFT(E43,LEN(E43)-1),LEFT(E46,LEN(E46)-1)=LEFT(E42,LEN(E42)-1),LEFT(E46,1)=LEFT(E45,1)),TRUE,FALSE))</formula>
    </cfRule>
  </conditionalFormatting>
  <conditionalFormatting sqref="E43">
    <cfRule type="expression" dxfId="37" priority="20">
      <formula>IF(E43="",FALSE,IF(LEFT(E43,1)=LEFT(E42,1),TRUE,FALSE))</formula>
    </cfRule>
  </conditionalFormatting>
  <conditionalFormatting sqref="E44">
    <cfRule type="expression" dxfId="35" priority="19">
      <formula>IF(E44="",FALSE,IF(OR(LEFT(E44,1)=LEFT(E43,1),LEFT(E44,1)=LEFT(E42,1)),TRUE,FALSE))</formula>
    </cfRule>
  </conditionalFormatting>
  <conditionalFormatting sqref="E45">
    <cfRule type="expression" dxfId="33" priority="18">
      <formula>IF(E45="",FALSE,IF(OR(LEFT(E45,LEN(E45)-1)=LEFT(E44,LEN(E44)-1),LEFT(E45,LEN(E45)-1)=LEFT(E43,LEN(E43)-1),LEFT(E45,LEN(E45)-1)=LEFT(E42,LEN(E42)-1)),TRUE,FALSE))</formula>
    </cfRule>
  </conditionalFormatting>
  <conditionalFormatting sqref="E51">
    <cfRule type="expression" dxfId="31" priority="13">
      <formula>IF(E51="",FALSE,IF(OR(LEFT(E51,LEN(E51)-1)=LEFT(E50,LEN(E50)-1),LEFT(E51,LEN(E51)-1)=LEFT(E49,LEN(E49)-1),LEFT(E51,LEN(E51)-1)=LEFT(E48,LEN(E48)-1),LEFT(E51,LEN(E51)-1)=LEFT(E47,LEN(E47)-1),LEFT(E51,1)=LEFT(E50,1)),TRUE,FALSE))</formula>
    </cfRule>
  </conditionalFormatting>
  <conditionalFormatting sqref="E48">
    <cfRule type="expression" dxfId="29" priority="16">
      <formula>IF(E48="",FALSE,IF(LEFT(E48,1)=LEFT(E47,1),TRUE,FALSE))</formula>
    </cfRule>
  </conditionalFormatting>
  <conditionalFormatting sqref="E49">
    <cfRule type="expression" dxfId="27" priority="15">
      <formula>IF(E49="",FALSE,IF(OR(LEFT(E49,1)=LEFT(E48,1),LEFT(E49,1)=LEFT(E47,1)),TRUE,FALSE))</formula>
    </cfRule>
  </conditionalFormatting>
  <conditionalFormatting sqref="E50">
    <cfRule type="expression" dxfId="25" priority="14">
      <formula>IF(E50="",FALSE,IF(OR(LEFT(E50,LEN(E50)-1)=LEFT(E49,LEN(E49)-1),LEFT(E50,LEN(E50)-1)=LEFT(E48,LEN(E48)-1),LEFT(E50,LEN(E50)-1)=LEFT(E47,LEN(E47)-1)),TRUE,FALSE))</formula>
    </cfRule>
  </conditionalFormatting>
  <conditionalFormatting sqref="E56">
    <cfRule type="expression" dxfId="23" priority="9">
      <formula>IF(E56="",FALSE,IF(OR(LEFT(E56,LEN(E56)-1)=LEFT(E55,LEN(E55)-1),LEFT(E56,LEN(E56)-1)=LEFT(E54,LEN(E54)-1),LEFT(E56,LEN(E56)-1)=LEFT(E53,LEN(E53)-1),LEFT(E56,LEN(E56)-1)=LEFT(E52,LEN(E52)-1),LEFT(E56,1)=LEFT(E55,1)),TRUE,FALSE))</formula>
    </cfRule>
  </conditionalFormatting>
  <conditionalFormatting sqref="E53">
    <cfRule type="expression" dxfId="21" priority="12">
      <formula>IF(E53="",FALSE,IF(LEFT(E53,1)=LEFT(E52,1),TRUE,FALSE))</formula>
    </cfRule>
  </conditionalFormatting>
  <conditionalFormatting sqref="E54">
    <cfRule type="expression" dxfId="19" priority="11">
      <formula>IF(E54="",FALSE,IF(OR(LEFT(E54,1)=LEFT(E53,1),LEFT(E54,1)=LEFT(E52,1)),TRUE,FALSE))</formula>
    </cfRule>
  </conditionalFormatting>
  <conditionalFormatting sqref="E55">
    <cfRule type="expression" dxfId="17" priority="10">
      <formula>IF(E55="",FALSE,IF(OR(LEFT(E55,LEN(E55)-1)=LEFT(E54,LEN(E54)-1),LEFT(E55,LEN(E55)-1)=LEFT(E53,LEN(E53)-1),LEFT(E55,LEN(E55)-1)=LEFT(E52,LEN(E52)-1)),TRUE,FALSE))</formula>
    </cfRule>
  </conditionalFormatting>
  <conditionalFormatting sqref="E61">
    <cfRule type="expression" dxfId="15" priority="5">
      <formula>IF(E61="",FALSE,IF(OR(LEFT(E61,LEN(E61)-1)=LEFT(E60,LEN(E60)-1),LEFT(E61,LEN(E61)-1)=LEFT(E59,LEN(E59)-1),LEFT(E61,LEN(E61)-1)=LEFT(E58,LEN(E58)-1),LEFT(E61,LEN(E61)-1)=LEFT(E57,LEN(E57)-1),LEFT(E61,1)=LEFT(E60,1)),TRUE,FALSE))</formula>
    </cfRule>
  </conditionalFormatting>
  <conditionalFormatting sqref="E58">
    <cfRule type="expression" dxfId="13" priority="8">
      <formula>IF(E58="",FALSE,IF(LEFT(E58,1)=LEFT(E57,1),TRUE,FALSE))</formula>
    </cfRule>
  </conditionalFormatting>
  <conditionalFormatting sqref="E59">
    <cfRule type="expression" dxfId="11" priority="7">
      <formula>IF(E59="",FALSE,IF(OR(LEFT(E59,1)=LEFT(E58,1),LEFT(E59,1)=LEFT(E57,1)),TRUE,FALSE))</formula>
    </cfRule>
  </conditionalFormatting>
  <conditionalFormatting sqref="E60">
    <cfRule type="expression" dxfId="9" priority="6">
      <formula>IF(E60="",FALSE,IF(OR(LEFT(E60,LEN(E60)-1)=LEFT(E59,LEN(E59)-1),LEFT(E60,LEN(E60)-1)=LEFT(E58,LEN(E58)-1),LEFT(E60,LEN(E60)-1)=LEFT(E57,LEN(E57)-1)),TRUE,FALSE))</formula>
    </cfRule>
  </conditionalFormatting>
  <conditionalFormatting sqref="E66">
    <cfRule type="expression" dxfId="7" priority="1">
      <formula>IF(E66="",FALSE,IF(OR(LEFT(E66,LEN(E66)-1)=LEFT(E65,LEN(E65)-1),LEFT(E66,LEN(E66)-1)=LEFT(E64,LEN(E64)-1),LEFT(E66,LEN(E66)-1)=LEFT(E63,LEN(E63)-1),LEFT(E66,LEN(E66)-1)=LEFT(E62,LEN(E62)-1),LEFT(E66,1)=LEFT(E65,1)),TRUE,FALSE))</formula>
    </cfRule>
  </conditionalFormatting>
  <conditionalFormatting sqref="E63">
    <cfRule type="expression" dxfId="5" priority="4">
      <formula>IF(E63="",FALSE,IF(LEFT(E63,1)=LEFT(E62,1),TRUE,FALSE))</formula>
    </cfRule>
  </conditionalFormatting>
  <conditionalFormatting sqref="E64">
    <cfRule type="expression" dxfId="3" priority="3">
      <formula>IF(E64="",FALSE,IF(OR(LEFT(E64,1)=LEFT(E63,1),LEFT(E64,1)=LEFT(E62,1)),TRUE,FALSE))</formula>
    </cfRule>
  </conditionalFormatting>
  <conditionalFormatting sqref="E65">
    <cfRule type="expression" dxfId="1" priority="2">
      <formula>IF(E65="",FALSE,IF(OR(LEFT(E65,LEN(E65)-1)=LEFT(E64,LEN(E64)-1),LEFT(E65,LEN(E65)-1)=LEFT(E63,LEN(E63)-1),LEFT(E65,LEN(E65)-1)=LEFT(E62,LEN(E62)-1)),TRUE,FALSE))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C2:C121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H2:L121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zoomScaleNormal="100" workbookViewId="0">
      <selection activeCell="J7" sqref="J7"/>
    </sheetView>
  </sheetViews>
  <sheetFormatPr defaultRowHeight="15" x14ac:dyDescent="0.25"/>
  <cols>
    <col min="1" max="1" width="10.42578125" customWidth="1"/>
    <col min="2" max="2" width="40.140625" style="37" customWidth="1"/>
    <col min="3" max="3" width="10.42578125" style="87" customWidth="1"/>
    <col min="4" max="4" width="10.42578125" customWidth="1"/>
    <col min="5" max="7" width="10.42578125" hidden="1" customWidth="1"/>
    <col min="8" max="1025" width="10.42578125" customWidth="1"/>
  </cols>
  <sheetData>
    <row r="1" spans="1:5" ht="17.25" customHeight="1" x14ac:dyDescent="0.25">
      <c r="A1" s="88" t="s">
        <v>34</v>
      </c>
      <c r="B1" s="89" t="s">
        <v>27</v>
      </c>
      <c r="C1" s="90" t="s">
        <v>36</v>
      </c>
      <c r="E1" t="s">
        <v>182</v>
      </c>
    </row>
    <row r="2" spans="1:5" ht="17.25" customHeight="1" x14ac:dyDescent="0.25">
      <c r="A2" s="91" t="s">
        <v>125</v>
      </c>
      <c r="B2" s="92" t="s">
        <v>183</v>
      </c>
      <c r="C2" s="93">
        <v>0.5</v>
      </c>
      <c r="E2" t="s">
        <v>184</v>
      </c>
    </row>
    <row r="3" spans="1:5" ht="17.25" customHeight="1" x14ac:dyDescent="0.25">
      <c r="A3" s="91" t="s">
        <v>185</v>
      </c>
      <c r="B3" s="92" t="s">
        <v>186</v>
      </c>
      <c r="C3" s="93">
        <v>0.6</v>
      </c>
      <c r="E3" t="s">
        <v>83</v>
      </c>
    </row>
    <row r="4" spans="1:5" ht="17.25" customHeight="1" x14ac:dyDescent="0.25">
      <c r="A4" s="91" t="s">
        <v>86</v>
      </c>
      <c r="B4" s="92" t="s">
        <v>187</v>
      </c>
      <c r="C4" s="93">
        <v>0.6</v>
      </c>
      <c r="E4" t="s">
        <v>188</v>
      </c>
    </row>
    <row r="5" spans="1:5" ht="17.25" customHeight="1" x14ac:dyDescent="0.25">
      <c r="A5" s="91" t="s">
        <v>116</v>
      </c>
      <c r="B5" s="92" t="s">
        <v>189</v>
      </c>
      <c r="C5" s="93">
        <v>1.3</v>
      </c>
      <c r="E5" t="s">
        <v>190</v>
      </c>
    </row>
    <row r="6" spans="1:5" ht="17.25" customHeight="1" x14ac:dyDescent="0.25">
      <c r="A6" s="91" t="s">
        <v>131</v>
      </c>
      <c r="B6" s="92" t="s">
        <v>191</v>
      </c>
      <c r="C6" s="93">
        <v>1.3</v>
      </c>
      <c r="E6" t="s">
        <v>192</v>
      </c>
    </row>
    <row r="7" spans="1:5" ht="17.25" customHeight="1" x14ac:dyDescent="0.25">
      <c r="A7" s="91" t="s">
        <v>118</v>
      </c>
      <c r="B7" s="92" t="s">
        <v>193</v>
      </c>
      <c r="C7" s="93">
        <v>1.3</v>
      </c>
      <c r="E7" t="s">
        <v>194</v>
      </c>
    </row>
    <row r="8" spans="1:5" ht="17.25" customHeight="1" x14ac:dyDescent="0.25">
      <c r="A8" s="91" t="s">
        <v>195</v>
      </c>
      <c r="B8" s="92" t="s">
        <v>196</v>
      </c>
      <c r="C8" s="93">
        <v>1</v>
      </c>
      <c r="E8" t="s">
        <v>49</v>
      </c>
    </row>
    <row r="9" spans="1:5" ht="17.25" customHeight="1" x14ac:dyDescent="0.25">
      <c r="A9" s="91" t="s">
        <v>164</v>
      </c>
      <c r="B9" s="92" t="s">
        <v>197</v>
      </c>
      <c r="C9" s="93">
        <v>1.6</v>
      </c>
      <c r="E9" t="s">
        <v>198</v>
      </c>
    </row>
    <row r="10" spans="1:5" ht="17.25" customHeight="1" x14ac:dyDescent="0.25">
      <c r="A10" s="91" t="s">
        <v>199</v>
      </c>
      <c r="B10" s="92" t="s">
        <v>200</v>
      </c>
      <c r="C10" s="93">
        <v>1.5</v>
      </c>
      <c r="E10" t="s">
        <v>201</v>
      </c>
    </row>
    <row r="11" spans="1:5" ht="17.25" customHeight="1" x14ac:dyDescent="0.25">
      <c r="A11" s="91" t="s">
        <v>133</v>
      </c>
      <c r="B11" s="92" t="s">
        <v>202</v>
      </c>
      <c r="C11" s="93">
        <v>1.4</v>
      </c>
      <c r="E11" t="s">
        <v>44</v>
      </c>
    </row>
    <row r="12" spans="1:5" ht="17.25" customHeight="1" x14ac:dyDescent="0.25">
      <c r="A12" s="91" t="s">
        <v>203</v>
      </c>
      <c r="B12" s="92" t="s">
        <v>204</v>
      </c>
      <c r="C12" s="93">
        <v>1.7</v>
      </c>
      <c r="E12" t="s">
        <v>205</v>
      </c>
    </row>
    <row r="13" spans="1:5" ht="17.25" customHeight="1" x14ac:dyDescent="0.25">
      <c r="A13" s="91" t="s">
        <v>206</v>
      </c>
      <c r="B13" s="92" t="s">
        <v>207</v>
      </c>
      <c r="C13" s="93">
        <v>1.6</v>
      </c>
      <c r="E13" t="s">
        <v>76</v>
      </c>
    </row>
    <row r="14" spans="1:5" ht="17.25" customHeight="1" x14ac:dyDescent="0.25">
      <c r="A14" s="91" t="s">
        <v>208</v>
      </c>
      <c r="B14" s="92" t="s">
        <v>209</v>
      </c>
      <c r="C14" s="93">
        <v>2.2999999999999998</v>
      </c>
      <c r="E14" t="s">
        <v>210</v>
      </c>
    </row>
    <row r="15" spans="1:5" ht="17.25" customHeight="1" x14ac:dyDescent="0.25">
      <c r="A15" s="91" t="s">
        <v>211</v>
      </c>
      <c r="B15" s="92" t="s">
        <v>212</v>
      </c>
      <c r="C15" s="93">
        <v>2.2000000000000002</v>
      </c>
      <c r="E15" t="s">
        <v>213</v>
      </c>
    </row>
    <row r="16" spans="1:5" ht="17.25" customHeight="1" x14ac:dyDescent="0.25">
      <c r="A16" s="91" t="s">
        <v>214</v>
      </c>
      <c r="B16" s="92" t="s">
        <v>215</v>
      </c>
      <c r="C16" s="93">
        <v>2.6</v>
      </c>
      <c r="E16" t="s">
        <v>216</v>
      </c>
    </row>
    <row r="17" spans="1:7" ht="17.25" customHeight="1" x14ac:dyDescent="0.25">
      <c r="A17" s="91" t="s">
        <v>217</v>
      </c>
      <c r="B17" s="92" t="s">
        <v>218</v>
      </c>
      <c r="C17" s="93">
        <v>2.4</v>
      </c>
      <c r="E17" t="s">
        <v>219</v>
      </c>
    </row>
    <row r="18" spans="1:7" ht="17.25" customHeight="1" x14ac:dyDescent="0.25">
      <c r="A18" s="91" t="s">
        <v>220</v>
      </c>
      <c r="B18" s="92" t="s">
        <v>221</v>
      </c>
      <c r="C18" s="93">
        <v>2.9</v>
      </c>
      <c r="E18" t="s">
        <v>222</v>
      </c>
    </row>
    <row r="19" spans="1:7" ht="17.25" customHeight="1" x14ac:dyDescent="0.25">
      <c r="A19" s="91" t="s">
        <v>223</v>
      </c>
      <c r="B19" s="92" t="s">
        <v>224</v>
      </c>
      <c r="C19" s="93">
        <v>3</v>
      </c>
      <c r="E19" t="s">
        <v>60</v>
      </c>
    </row>
    <row r="20" spans="1:7" ht="17.25" customHeight="1" x14ac:dyDescent="0.25">
      <c r="A20" s="91" t="s">
        <v>225</v>
      </c>
      <c r="B20" s="92" t="s">
        <v>226</v>
      </c>
      <c r="C20" s="93">
        <v>0.5</v>
      </c>
      <c r="E20" t="s">
        <v>227</v>
      </c>
    </row>
    <row r="21" spans="1:7" ht="17.25" customHeight="1" x14ac:dyDescent="0.25">
      <c r="A21" s="91" t="s">
        <v>228</v>
      </c>
      <c r="B21" s="92" t="s">
        <v>229</v>
      </c>
      <c r="C21" s="93">
        <v>0.6</v>
      </c>
      <c r="E21" t="s">
        <v>88</v>
      </c>
    </row>
    <row r="22" spans="1:7" ht="17.25" customHeight="1" x14ac:dyDescent="0.25">
      <c r="A22" s="91" t="s">
        <v>114</v>
      </c>
      <c r="B22" s="92" t="s">
        <v>230</v>
      </c>
      <c r="C22" s="93">
        <v>0.6</v>
      </c>
      <c r="E22" t="s">
        <v>231</v>
      </c>
    </row>
    <row r="23" spans="1:7" ht="17.25" customHeight="1" x14ac:dyDescent="0.25">
      <c r="A23" s="91" t="s">
        <v>115</v>
      </c>
      <c r="B23" s="92" t="s">
        <v>232</v>
      </c>
      <c r="C23" s="93">
        <v>1.4</v>
      </c>
    </row>
    <row r="24" spans="1:7" ht="17.25" customHeight="1" x14ac:dyDescent="0.25">
      <c r="A24" s="91" t="s">
        <v>233</v>
      </c>
      <c r="B24" s="92" t="s">
        <v>234</v>
      </c>
      <c r="C24" s="93">
        <v>1.6</v>
      </c>
      <c r="E24">
        <v>0</v>
      </c>
      <c r="F24">
        <v>16</v>
      </c>
      <c r="G24">
        <v>0</v>
      </c>
    </row>
    <row r="25" spans="1:7" ht="17.25" customHeight="1" x14ac:dyDescent="0.25">
      <c r="A25" s="91" t="s">
        <v>235</v>
      </c>
      <c r="B25" s="92" t="s">
        <v>236</v>
      </c>
      <c r="C25" s="93">
        <v>1.6</v>
      </c>
      <c r="E25">
        <v>1</v>
      </c>
      <c r="F25">
        <v>16</v>
      </c>
      <c r="G25">
        <v>0.5</v>
      </c>
    </row>
    <row r="26" spans="1:7" ht="17.25" customHeight="1" x14ac:dyDescent="0.25">
      <c r="A26" s="91" t="s">
        <v>129</v>
      </c>
      <c r="B26" s="92" t="s">
        <v>237</v>
      </c>
      <c r="C26" s="93">
        <v>1</v>
      </c>
      <c r="E26">
        <v>2</v>
      </c>
      <c r="F26">
        <v>14</v>
      </c>
      <c r="G26">
        <v>1</v>
      </c>
    </row>
    <row r="27" spans="1:7" ht="17.25" customHeight="1" x14ac:dyDescent="0.25">
      <c r="A27" s="91" t="s">
        <v>132</v>
      </c>
      <c r="B27" s="92" t="s">
        <v>238</v>
      </c>
      <c r="C27" s="93">
        <v>1.7</v>
      </c>
      <c r="E27">
        <v>3</v>
      </c>
      <c r="F27">
        <v>12</v>
      </c>
      <c r="G27">
        <v>1.5</v>
      </c>
    </row>
    <row r="28" spans="1:7" ht="17.25" customHeight="1" x14ac:dyDescent="0.25">
      <c r="A28" s="91" t="s">
        <v>239</v>
      </c>
      <c r="B28" s="92" t="s">
        <v>240</v>
      </c>
      <c r="C28" s="93">
        <v>1.6</v>
      </c>
      <c r="E28">
        <v>4</v>
      </c>
      <c r="F28">
        <v>11</v>
      </c>
      <c r="G28">
        <v>2</v>
      </c>
    </row>
    <row r="29" spans="1:7" ht="17.25" customHeight="1" x14ac:dyDescent="0.25">
      <c r="A29" s="91" t="s">
        <v>119</v>
      </c>
      <c r="B29" s="92" t="s">
        <v>241</v>
      </c>
      <c r="C29" s="93">
        <v>1.5</v>
      </c>
      <c r="E29">
        <v>5</v>
      </c>
      <c r="F29">
        <v>10</v>
      </c>
      <c r="G29">
        <v>2.5</v>
      </c>
    </row>
    <row r="30" spans="1:7" ht="17.25" customHeight="1" x14ac:dyDescent="0.25">
      <c r="A30" s="91" t="s">
        <v>242</v>
      </c>
      <c r="B30" s="92" t="s">
        <v>243</v>
      </c>
      <c r="C30" s="93">
        <v>2.5</v>
      </c>
      <c r="E30">
        <v>6</v>
      </c>
      <c r="F30">
        <v>9</v>
      </c>
      <c r="G30">
        <v>3</v>
      </c>
    </row>
    <row r="31" spans="1:7" ht="17.25" customHeight="1" x14ac:dyDescent="0.25">
      <c r="A31" s="91" t="s">
        <v>244</v>
      </c>
      <c r="B31" s="92" t="s">
        <v>245</v>
      </c>
      <c r="C31" s="93">
        <v>2.2999999999999998</v>
      </c>
      <c r="E31">
        <v>7</v>
      </c>
      <c r="F31">
        <v>7</v>
      </c>
      <c r="G31">
        <v>3.5</v>
      </c>
    </row>
    <row r="32" spans="1:7" ht="17.25" customHeight="1" x14ac:dyDescent="0.25">
      <c r="A32" s="91" t="s">
        <v>246</v>
      </c>
      <c r="B32" s="92" t="s">
        <v>247</v>
      </c>
      <c r="C32" s="93">
        <v>2</v>
      </c>
      <c r="E32">
        <v>8</v>
      </c>
      <c r="F32">
        <v>5</v>
      </c>
      <c r="G32">
        <v>4</v>
      </c>
    </row>
    <row r="33" spans="1:7" ht="17.25" customHeight="1" x14ac:dyDescent="0.25">
      <c r="A33" s="91" t="s">
        <v>248</v>
      </c>
      <c r="B33" s="92" t="s">
        <v>249</v>
      </c>
      <c r="C33" s="93">
        <v>2.5</v>
      </c>
      <c r="E33">
        <v>9</v>
      </c>
      <c r="F33">
        <v>4</v>
      </c>
      <c r="G33">
        <v>4.5</v>
      </c>
    </row>
    <row r="34" spans="1:7" ht="17.25" customHeight="1" x14ac:dyDescent="0.25">
      <c r="A34" s="91" t="s">
        <v>250</v>
      </c>
      <c r="B34" s="92" t="s">
        <v>251</v>
      </c>
      <c r="C34" s="93">
        <v>2.2000000000000002</v>
      </c>
      <c r="E34">
        <v>10</v>
      </c>
      <c r="F34">
        <v>3</v>
      </c>
      <c r="G34">
        <v>5</v>
      </c>
    </row>
    <row r="35" spans="1:7" ht="17.25" customHeight="1" x14ac:dyDescent="0.25">
      <c r="A35" s="91" t="s">
        <v>252</v>
      </c>
      <c r="B35" s="92" t="s">
        <v>253</v>
      </c>
      <c r="C35" s="93">
        <v>3.2</v>
      </c>
      <c r="E35">
        <v>11</v>
      </c>
      <c r="F35">
        <v>2</v>
      </c>
      <c r="G35">
        <v>5.5</v>
      </c>
    </row>
    <row r="36" spans="1:7" ht="17.25" customHeight="1" x14ac:dyDescent="0.25">
      <c r="A36" s="91" t="s">
        <v>254</v>
      </c>
      <c r="B36" s="92" t="s">
        <v>255</v>
      </c>
      <c r="C36" s="93">
        <v>3</v>
      </c>
      <c r="E36">
        <v>12</v>
      </c>
      <c r="F36">
        <v>1</v>
      </c>
      <c r="G36">
        <v>6</v>
      </c>
    </row>
    <row r="37" spans="1:7" ht="17.25" customHeight="1" x14ac:dyDescent="0.25">
      <c r="A37" s="91" t="s">
        <v>256</v>
      </c>
      <c r="B37" s="92" t="s">
        <v>257</v>
      </c>
      <c r="C37" s="93">
        <v>1.7</v>
      </c>
      <c r="E37">
        <v>13</v>
      </c>
      <c r="F37">
        <v>0</v>
      </c>
      <c r="G37">
        <v>6.5</v>
      </c>
    </row>
    <row r="38" spans="1:7" ht="17.25" customHeight="1" x14ac:dyDescent="0.25">
      <c r="A38" s="91" t="s">
        <v>258</v>
      </c>
      <c r="B38" s="92" t="s">
        <v>259</v>
      </c>
      <c r="C38" s="93">
        <v>1.7</v>
      </c>
      <c r="E38">
        <v>14</v>
      </c>
      <c r="F38">
        <v>0</v>
      </c>
      <c r="G38">
        <v>7</v>
      </c>
    </row>
    <row r="39" spans="1:7" ht="17.25" customHeight="1" x14ac:dyDescent="0.25">
      <c r="A39" s="91" t="s">
        <v>260</v>
      </c>
      <c r="B39" s="92" t="s">
        <v>261</v>
      </c>
      <c r="C39" s="93">
        <v>1.7</v>
      </c>
      <c r="E39">
        <v>15</v>
      </c>
      <c r="F39">
        <v>0</v>
      </c>
      <c r="G39">
        <v>7.5</v>
      </c>
    </row>
    <row r="40" spans="1:7" ht="17.25" customHeight="1" x14ac:dyDescent="0.25">
      <c r="A40" s="91" t="s">
        <v>262</v>
      </c>
      <c r="B40" s="92" t="s">
        <v>263</v>
      </c>
      <c r="C40" s="93">
        <v>1.8</v>
      </c>
      <c r="E40">
        <v>16</v>
      </c>
      <c r="F40">
        <v>0</v>
      </c>
      <c r="G40">
        <v>8</v>
      </c>
    </row>
    <row r="41" spans="1:7" ht="17.25" customHeight="1" x14ac:dyDescent="0.25">
      <c r="A41" s="91" t="s">
        <v>264</v>
      </c>
      <c r="B41" s="92" t="s">
        <v>265</v>
      </c>
      <c r="C41" s="93">
        <v>1.7</v>
      </c>
      <c r="E41">
        <v>17</v>
      </c>
      <c r="F41">
        <v>0</v>
      </c>
      <c r="G41">
        <v>8.5</v>
      </c>
    </row>
    <row r="42" spans="1:7" ht="17.25" customHeight="1" x14ac:dyDescent="0.25">
      <c r="A42" s="91" t="s">
        <v>266</v>
      </c>
      <c r="B42" s="92" t="s">
        <v>267</v>
      </c>
      <c r="C42" s="93">
        <v>1.6</v>
      </c>
      <c r="E42">
        <v>18</v>
      </c>
      <c r="F42">
        <v>0</v>
      </c>
      <c r="G42">
        <v>9</v>
      </c>
    </row>
    <row r="43" spans="1:7" ht="17.25" customHeight="1" x14ac:dyDescent="0.25">
      <c r="A43" s="91" t="s">
        <v>268</v>
      </c>
      <c r="B43" s="92" t="s">
        <v>269</v>
      </c>
      <c r="C43" s="93">
        <v>2.7</v>
      </c>
      <c r="E43">
        <v>19</v>
      </c>
      <c r="F43">
        <v>0</v>
      </c>
      <c r="G43">
        <v>9.5</v>
      </c>
    </row>
    <row r="44" spans="1:7" ht="17.25" customHeight="1" x14ac:dyDescent="0.25">
      <c r="A44" s="91" t="s">
        <v>270</v>
      </c>
      <c r="B44" s="92" t="s">
        <v>271</v>
      </c>
      <c r="C44" s="93">
        <v>2.4</v>
      </c>
      <c r="E44">
        <v>20</v>
      </c>
      <c r="F44">
        <v>0</v>
      </c>
      <c r="G44">
        <v>10</v>
      </c>
    </row>
    <row r="45" spans="1:7" ht="17.25" customHeight="1" x14ac:dyDescent="0.25">
      <c r="A45" s="91" t="s">
        <v>272</v>
      </c>
      <c r="B45" s="92" t="s">
        <v>273</v>
      </c>
      <c r="C45" s="93">
        <v>2.1</v>
      </c>
      <c r="E45">
        <v>21</v>
      </c>
      <c r="F45">
        <v>0</v>
      </c>
    </row>
    <row r="46" spans="1:7" ht="17.25" customHeight="1" x14ac:dyDescent="0.25">
      <c r="A46" s="91" t="s">
        <v>274</v>
      </c>
      <c r="B46" s="92" t="s">
        <v>275</v>
      </c>
      <c r="C46" s="93">
        <v>2.6</v>
      </c>
      <c r="E46">
        <v>22</v>
      </c>
      <c r="F46">
        <v>0</v>
      </c>
    </row>
    <row r="47" spans="1:7" ht="17.25" customHeight="1" x14ac:dyDescent="0.25">
      <c r="A47" s="91" t="s">
        <v>276</v>
      </c>
      <c r="B47" s="92" t="s">
        <v>277</v>
      </c>
      <c r="C47" s="93">
        <v>2.2999999999999998</v>
      </c>
      <c r="E47">
        <v>23</v>
      </c>
      <c r="F47">
        <v>0</v>
      </c>
    </row>
    <row r="48" spans="1:7" ht="17.25" customHeight="1" x14ac:dyDescent="0.25">
      <c r="A48" s="91" t="s">
        <v>278</v>
      </c>
      <c r="B48" s="92" t="s">
        <v>279</v>
      </c>
      <c r="C48" s="93">
        <v>3.2</v>
      </c>
      <c r="E48">
        <v>24</v>
      </c>
      <c r="F48">
        <v>0</v>
      </c>
    </row>
    <row r="49" spans="1:6" ht="17.25" customHeight="1" x14ac:dyDescent="0.25">
      <c r="A49" s="91" t="s">
        <v>280</v>
      </c>
      <c r="B49" s="92" t="s">
        <v>281</v>
      </c>
      <c r="C49" s="93">
        <v>3</v>
      </c>
      <c r="E49">
        <v>25</v>
      </c>
      <c r="F49">
        <v>0</v>
      </c>
    </row>
    <row r="50" spans="1:6" ht="17.25" customHeight="1" x14ac:dyDescent="0.25">
      <c r="A50" s="91" t="s">
        <v>282</v>
      </c>
      <c r="B50" s="92" t="s">
        <v>283</v>
      </c>
      <c r="C50" s="93">
        <v>1.5</v>
      </c>
    </row>
    <row r="51" spans="1:6" ht="17.25" customHeight="1" x14ac:dyDescent="0.25">
      <c r="A51" s="91" t="s">
        <v>165</v>
      </c>
      <c r="B51" s="92" t="s">
        <v>284</v>
      </c>
      <c r="C51" s="93">
        <v>1.5</v>
      </c>
    </row>
    <row r="52" spans="1:6" ht="17.25" customHeight="1" x14ac:dyDescent="0.25">
      <c r="A52" s="91" t="s">
        <v>123</v>
      </c>
      <c r="B52" s="92" t="s">
        <v>285</v>
      </c>
      <c r="C52" s="93">
        <v>1.5</v>
      </c>
    </row>
    <row r="53" spans="1:6" ht="17.25" customHeight="1" x14ac:dyDescent="0.25">
      <c r="A53" s="91" t="s">
        <v>286</v>
      </c>
      <c r="B53" s="92" t="s">
        <v>287</v>
      </c>
      <c r="C53" s="93">
        <v>1.7</v>
      </c>
    </row>
    <row r="54" spans="1:6" ht="17.25" customHeight="1" x14ac:dyDescent="0.25">
      <c r="A54" s="91" t="s">
        <v>158</v>
      </c>
      <c r="B54" s="92" t="s">
        <v>288</v>
      </c>
      <c r="C54" s="93">
        <v>1.6</v>
      </c>
    </row>
    <row r="55" spans="1:6" ht="17.25" customHeight="1" x14ac:dyDescent="0.25">
      <c r="A55" s="91" t="s">
        <v>289</v>
      </c>
      <c r="B55" s="92" t="s">
        <v>290</v>
      </c>
      <c r="C55" s="93">
        <v>2.4</v>
      </c>
    </row>
    <row r="56" spans="1:6" ht="17.25" customHeight="1" x14ac:dyDescent="0.25">
      <c r="A56" s="91" t="s">
        <v>291</v>
      </c>
      <c r="B56" s="92" t="s">
        <v>292</v>
      </c>
      <c r="C56" s="93">
        <v>2.2000000000000002</v>
      </c>
    </row>
    <row r="57" spans="1:6" ht="17.25" customHeight="1" x14ac:dyDescent="0.25">
      <c r="A57" s="91" t="s">
        <v>293</v>
      </c>
      <c r="B57" s="92" t="s">
        <v>294</v>
      </c>
      <c r="C57" s="93">
        <v>2.8</v>
      </c>
    </row>
    <row r="58" spans="1:6" ht="17.25" customHeight="1" x14ac:dyDescent="0.25">
      <c r="A58" s="91" t="s">
        <v>295</v>
      </c>
      <c r="B58" s="92" t="s">
        <v>296</v>
      </c>
      <c r="C58" s="93">
        <v>3.4</v>
      </c>
    </row>
    <row r="59" spans="1:6" ht="17.25" customHeight="1" x14ac:dyDescent="0.25">
      <c r="A59" s="91" t="s">
        <v>297</v>
      </c>
      <c r="B59" s="92" t="s">
        <v>298</v>
      </c>
      <c r="C59" s="93">
        <v>3.1</v>
      </c>
    </row>
    <row r="60" spans="1:6" ht="17.25" customHeight="1" x14ac:dyDescent="0.25">
      <c r="A60" s="91" t="s">
        <v>172</v>
      </c>
      <c r="B60" s="92" t="s">
        <v>299</v>
      </c>
      <c r="C60" s="93">
        <v>1.4</v>
      </c>
    </row>
    <row r="61" spans="1:6" ht="17.25" customHeight="1" x14ac:dyDescent="0.25">
      <c r="A61" s="91" t="s">
        <v>300</v>
      </c>
      <c r="B61" s="92" t="s">
        <v>301</v>
      </c>
      <c r="C61" s="93">
        <v>1.4</v>
      </c>
    </row>
    <row r="62" spans="1:6" ht="17.25" customHeight="1" x14ac:dyDescent="0.25">
      <c r="A62" s="91" t="s">
        <v>302</v>
      </c>
      <c r="B62" s="92" t="s">
        <v>303</v>
      </c>
      <c r="C62" s="93">
        <v>1.4</v>
      </c>
    </row>
    <row r="63" spans="1:6" ht="17.25" customHeight="1" x14ac:dyDescent="0.25">
      <c r="A63" s="91" t="s">
        <v>304</v>
      </c>
      <c r="B63" s="92" t="s">
        <v>305</v>
      </c>
      <c r="C63" s="93">
        <v>2</v>
      </c>
    </row>
    <row r="64" spans="1:6" ht="17.25" customHeight="1" x14ac:dyDescent="0.25">
      <c r="A64" s="91" t="s">
        <v>306</v>
      </c>
      <c r="B64" s="92" t="s">
        <v>307</v>
      </c>
      <c r="C64" s="93">
        <v>1.9</v>
      </c>
    </row>
    <row r="65" spans="1:3" ht="17.25" customHeight="1" x14ac:dyDescent="0.25">
      <c r="A65" s="91" t="s">
        <v>308</v>
      </c>
      <c r="B65" s="92" t="s">
        <v>309</v>
      </c>
      <c r="C65" s="93">
        <v>1.9</v>
      </c>
    </row>
    <row r="66" spans="1:3" ht="17.25" customHeight="1" x14ac:dyDescent="0.25">
      <c r="A66" s="91" t="s">
        <v>310</v>
      </c>
      <c r="B66" s="92" t="s">
        <v>311</v>
      </c>
      <c r="C66" s="93">
        <v>1.8</v>
      </c>
    </row>
    <row r="67" spans="1:3" ht="17.25" customHeight="1" x14ac:dyDescent="0.25">
      <c r="A67" s="91" t="s">
        <v>312</v>
      </c>
      <c r="B67" s="92" t="s">
        <v>313</v>
      </c>
      <c r="C67" s="93">
        <v>1.7</v>
      </c>
    </row>
    <row r="68" spans="1:3" ht="17.25" customHeight="1" x14ac:dyDescent="0.25">
      <c r="A68" s="91" t="s">
        <v>166</v>
      </c>
      <c r="B68" s="92" t="s">
        <v>314</v>
      </c>
      <c r="C68" s="93">
        <v>1.9</v>
      </c>
    </row>
    <row r="69" spans="1:3" ht="17.25" customHeight="1" x14ac:dyDescent="0.25">
      <c r="A69" s="91" t="s">
        <v>315</v>
      </c>
      <c r="B69" s="92" t="s">
        <v>316</v>
      </c>
      <c r="C69" s="93">
        <v>2.2999999999999998</v>
      </c>
    </row>
    <row r="70" spans="1:3" ht="17.25" customHeight="1" x14ac:dyDescent="0.25">
      <c r="A70" s="91" t="s">
        <v>317</v>
      </c>
      <c r="B70" s="92" t="s">
        <v>318</v>
      </c>
      <c r="C70" s="93">
        <v>2.7</v>
      </c>
    </row>
    <row r="71" spans="1:3" ht="17.25" customHeight="1" x14ac:dyDescent="0.25">
      <c r="A71" s="91" t="s">
        <v>319</v>
      </c>
      <c r="B71" s="92" t="s">
        <v>320</v>
      </c>
      <c r="C71" s="93">
        <v>2.1</v>
      </c>
    </row>
    <row r="72" spans="1:3" ht="17.25" customHeight="1" x14ac:dyDescent="0.25">
      <c r="A72" s="91" t="s">
        <v>321</v>
      </c>
      <c r="B72" s="92" t="s">
        <v>322</v>
      </c>
      <c r="C72" s="93">
        <v>2</v>
      </c>
    </row>
    <row r="73" spans="1:3" ht="17.25" customHeight="1" x14ac:dyDescent="0.25">
      <c r="A73" s="91" t="s">
        <v>323</v>
      </c>
      <c r="B73" s="92" t="s">
        <v>324</v>
      </c>
      <c r="C73" s="93">
        <v>2.2000000000000002</v>
      </c>
    </row>
    <row r="74" spans="1:3" ht="17.25" customHeight="1" x14ac:dyDescent="0.25">
      <c r="A74" s="91" t="s">
        <v>325</v>
      </c>
      <c r="B74" s="92" t="s">
        <v>326</v>
      </c>
      <c r="C74" s="93">
        <v>2.6</v>
      </c>
    </row>
    <row r="75" spans="1:3" ht="17.25" customHeight="1" x14ac:dyDescent="0.25">
      <c r="A75" s="91" t="s">
        <v>327</v>
      </c>
      <c r="B75" s="92" t="s">
        <v>328</v>
      </c>
      <c r="C75" s="93">
        <v>3</v>
      </c>
    </row>
    <row r="76" spans="1:3" ht="17.25" customHeight="1" x14ac:dyDescent="0.25">
      <c r="A76" s="91" t="s">
        <v>329</v>
      </c>
      <c r="B76" s="92" t="s">
        <v>330</v>
      </c>
      <c r="C76" s="93">
        <v>3.2</v>
      </c>
    </row>
    <row r="77" spans="1:3" ht="17.25" customHeight="1" x14ac:dyDescent="0.25">
      <c r="A77" s="91" t="s">
        <v>331</v>
      </c>
      <c r="B77" s="92" t="s">
        <v>332</v>
      </c>
      <c r="C77" s="93">
        <v>3</v>
      </c>
    </row>
    <row r="78" spans="1:3" ht="17.25" customHeight="1" x14ac:dyDescent="0.25">
      <c r="A78" s="91" t="s">
        <v>120</v>
      </c>
      <c r="B78" s="92" t="s">
        <v>333</v>
      </c>
      <c r="C78" s="93">
        <v>1.4</v>
      </c>
    </row>
    <row r="79" spans="1:3" ht="17.25" customHeight="1" x14ac:dyDescent="0.25">
      <c r="A79" s="91" t="s">
        <v>334</v>
      </c>
      <c r="B79" s="92" t="s">
        <v>335</v>
      </c>
      <c r="C79" s="93">
        <v>2</v>
      </c>
    </row>
    <row r="80" spans="1:3" ht="17.25" customHeight="1" x14ac:dyDescent="0.25">
      <c r="A80" s="91" t="s">
        <v>175</v>
      </c>
      <c r="B80" s="92" t="s">
        <v>336</v>
      </c>
      <c r="C80" s="93">
        <v>1.7</v>
      </c>
    </row>
    <row r="81" spans="1:3" ht="17.25" customHeight="1" x14ac:dyDescent="0.25">
      <c r="A81" s="91" t="s">
        <v>337</v>
      </c>
      <c r="B81" s="92" t="s">
        <v>338</v>
      </c>
      <c r="C81" s="93">
        <v>1.9</v>
      </c>
    </row>
    <row r="82" spans="1:3" ht="17.25" customHeight="1" x14ac:dyDescent="0.25">
      <c r="A82" s="91" t="s">
        <v>167</v>
      </c>
      <c r="B82" s="92" t="s">
        <v>339</v>
      </c>
      <c r="C82" s="93">
        <v>2.2999999999999998</v>
      </c>
    </row>
    <row r="83" spans="1:3" ht="17.25" customHeight="1" x14ac:dyDescent="0.25">
      <c r="A83" s="91" t="s">
        <v>340</v>
      </c>
      <c r="B83" s="92" t="s">
        <v>341</v>
      </c>
      <c r="C83" s="93">
        <v>2.7</v>
      </c>
    </row>
    <row r="84" spans="1:3" ht="17.25" customHeight="1" x14ac:dyDescent="0.25">
      <c r="A84" s="91" t="s">
        <v>342</v>
      </c>
      <c r="B84" s="92" t="s">
        <v>343</v>
      </c>
      <c r="C84" s="93">
        <v>2.1</v>
      </c>
    </row>
    <row r="85" spans="1:3" ht="17.25" customHeight="1" x14ac:dyDescent="0.25">
      <c r="A85" s="91" t="s">
        <v>344</v>
      </c>
      <c r="B85" s="92" t="s">
        <v>345</v>
      </c>
      <c r="C85" s="93">
        <v>2.5</v>
      </c>
    </row>
    <row r="86" spans="1:3" ht="17.25" customHeight="1" x14ac:dyDescent="0.25">
      <c r="A86" s="91" t="s">
        <v>346</v>
      </c>
      <c r="B86" s="92" t="s">
        <v>347</v>
      </c>
      <c r="C86" s="93">
        <v>2.9</v>
      </c>
    </row>
    <row r="87" spans="1:3" ht="17.25" customHeight="1" x14ac:dyDescent="0.25">
      <c r="A87" s="91" t="s">
        <v>348</v>
      </c>
      <c r="B87" s="92" t="s">
        <v>349</v>
      </c>
      <c r="C87" s="93">
        <v>2.6</v>
      </c>
    </row>
    <row r="88" spans="1:3" ht="17.25" customHeight="1" x14ac:dyDescent="0.25">
      <c r="A88" s="91" t="s">
        <v>350</v>
      </c>
      <c r="B88" s="92" t="s">
        <v>351</v>
      </c>
      <c r="C88" s="93">
        <v>1.9</v>
      </c>
    </row>
    <row r="89" spans="1:3" ht="17.25" customHeight="1" x14ac:dyDescent="0.25">
      <c r="A89" s="91" t="s">
        <v>352</v>
      </c>
      <c r="B89" s="92" t="s">
        <v>353</v>
      </c>
      <c r="C89" s="93">
        <v>2.1</v>
      </c>
    </row>
    <row r="90" spans="1:3" ht="17.25" customHeight="1" x14ac:dyDescent="0.25">
      <c r="A90" s="91" t="s">
        <v>354</v>
      </c>
      <c r="B90" s="92" t="s">
        <v>355</v>
      </c>
      <c r="C90" s="93">
        <v>1.8</v>
      </c>
    </row>
    <row r="91" spans="1:3" ht="17.25" customHeight="1" x14ac:dyDescent="0.25">
      <c r="A91" s="91" t="s">
        <v>356</v>
      </c>
      <c r="B91" s="92" t="s">
        <v>357</v>
      </c>
      <c r="C91" s="93">
        <v>2</v>
      </c>
    </row>
    <row r="92" spans="1:3" ht="17.25" customHeight="1" x14ac:dyDescent="0.25">
      <c r="A92" s="91" t="s">
        <v>358</v>
      </c>
      <c r="B92" s="92" t="s">
        <v>359</v>
      </c>
      <c r="C92" s="93">
        <v>2.4</v>
      </c>
    </row>
    <row r="93" spans="1:3" ht="17.25" customHeight="1" x14ac:dyDescent="0.25">
      <c r="A93" s="91" t="s">
        <v>360</v>
      </c>
      <c r="B93" s="92" t="s">
        <v>361</v>
      </c>
      <c r="C93" s="93">
        <v>2.8</v>
      </c>
    </row>
    <row r="94" spans="1:3" ht="17.25" customHeight="1" x14ac:dyDescent="0.25">
      <c r="A94" s="91" t="s">
        <v>362</v>
      </c>
      <c r="B94" s="92" t="s">
        <v>363</v>
      </c>
      <c r="C94" s="93">
        <v>2.2000000000000002</v>
      </c>
    </row>
    <row r="95" spans="1:3" ht="17.25" customHeight="1" x14ac:dyDescent="0.25">
      <c r="A95" s="91" t="s">
        <v>364</v>
      </c>
      <c r="B95" s="92" t="s">
        <v>365</v>
      </c>
      <c r="C95" s="93">
        <v>2.6</v>
      </c>
    </row>
    <row r="96" spans="1:3" ht="17.25" customHeight="1" x14ac:dyDescent="0.25">
      <c r="A96" s="91" t="s">
        <v>366</v>
      </c>
      <c r="B96" s="92" t="s">
        <v>367</v>
      </c>
      <c r="C96" s="93">
        <v>2</v>
      </c>
    </row>
    <row r="97" spans="1:3" ht="17.25" customHeight="1" x14ac:dyDescent="0.25">
      <c r="A97" s="91" t="s">
        <v>368</v>
      </c>
      <c r="B97" s="92" t="s">
        <v>369</v>
      </c>
      <c r="C97" s="93">
        <v>1.7</v>
      </c>
    </row>
    <row r="98" spans="1:3" ht="17.25" customHeight="1" x14ac:dyDescent="0.25">
      <c r="A98" s="91" t="s">
        <v>370</v>
      </c>
      <c r="B98" s="92" t="s">
        <v>371</v>
      </c>
      <c r="C98" s="93">
        <v>2.2000000000000002</v>
      </c>
    </row>
    <row r="99" spans="1:3" ht="17.25" customHeight="1" x14ac:dyDescent="0.25">
      <c r="A99" s="91" t="s">
        <v>372</v>
      </c>
      <c r="B99" s="92" t="s">
        <v>373</v>
      </c>
      <c r="C99" s="93">
        <v>1.9</v>
      </c>
    </row>
    <row r="100" spans="1:3" ht="17.25" customHeight="1" x14ac:dyDescent="0.25">
      <c r="A100" s="91" t="s">
        <v>374</v>
      </c>
      <c r="B100" s="92" t="s">
        <v>375</v>
      </c>
      <c r="C100" s="93">
        <v>1.8</v>
      </c>
    </row>
    <row r="101" spans="1:3" ht="17.25" customHeight="1" x14ac:dyDescent="0.25">
      <c r="A101" s="91" t="s">
        <v>376</v>
      </c>
      <c r="B101" s="92" t="s">
        <v>377</v>
      </c>
      <c r="C101" s="93">
        <v>1.7</v>
      </c>
    </row>
    <row r="102" spans="1:3" ht="17.25" customHeight="1" x14ac:dyDescent="0.25">
      <c r="A102" s="91" t="s">
        <v>378</v>
      </c>
      <c r="B102" s="92" t="s">
        <v>379</v>
      </c>
      <c r="C102" s="93">
        <v>2.1</v>
      </c>
    </row>
    <row r="103" spans="1:3" ht="17.25" customHeight="1" x14ac:dyDescent="0.25">
      <c r="A103" s="91" t="s">
        <v>380</v>
      </c>
      <c r="B103" s="92" t="s">
        <v>381</v>
      </c>
      <c r="C103" s="93">
        <v>2.7</v>
      </c>
    </row>
    <row r="104" spans="1:3" ht="17.25" customHeight="1" x14ac:dyDescent="0.25">
      <c r="A104" s="91" t="s">
        <v>382</v>
      </c>
      <c r="B104" s="92" t="s">
        <v>383</v>
      </c>
      <c r="C104" s="93">
        <v>3.1</v>
      </c>
    </row>
  </sheetData>
  <sheetProtection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pane ySplit="1" topLeftCell="A83" activePane="bottomLeft" state="frozen"/>
      <selection activeCell="G1" sqref="G1"/>
      <selection pane="bottomLeft" activeCell="H36" sqref="H36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8.7109375" style="46" customWidth="1"/>
    <col min="5" max="5" width="12.2851562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20" width="14.42578125" style="45" hidden="1" customWidth="1"/>
    <col min="21" max="1025" width="9.140625" style="45" customWidth="1"/>
  </cols>
  <sheetData>
    <row r="1" spans="1:22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  <c r="U1" s="49"/>
      <c r="V1" s="49"/>
    </row>
    <row r="2" spans="1:22" ht="15" customHeight="1" x14ac:dyDescent="0.25">
      <c r="A2" s="97">
        <v>1</v>
      </c>
      <c r="B2" s="98" t="s">
        <v>43</v>
      </c>
      <c r="C2" s="99" t="s">
        <v>44</v>
      </c>
      <c r="D2" s="46">
        <v>1</v>
      </c>
      <c r="E2" s="50" t="s">
        <v>45</v>
      </c>
      <c r="F2" s="45" t="str">
        <f>IF($E2="","",IF(ISNA(VLOOKUP($E2,DD!$A$2:$C$150,2,0)),"NO SUCH DIVE",VLOOKUP($E2,DD!$A$2:$C$150,2,0)))</f>
        <v>Front jump tuck</v>
      </c>
      <c r="G2" s="51">
        <f>IF($E2="","",IF(ISNA(VLOOKUP($E2,DD!$A$2:$C$150,3,0)),"",VLOOKUP($E2,DD!$A$2:$C$150,3,0)))</f>
        <v>0.6</v>
      </c>
      <c r="H2" s="52">
        <v>5</v>
      </c>
      <c r="I2" s="52">
        <v>4.5</v>
      </c>
      <c r="J2" s="52">
        <v>5</v>
      </c>
      <c r="K2" s="52">
        <v>5.5</v>
      </c>
      <c r="L2" s="52">
        <v>5.5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9.2999999999999989</v>
      </c>
      <c r="O2" s="45">
        <f>IF(N2="","",N2)</f>
        <v>9.2999999999999989</v>
      </c>
      <c r="R2" s="53">
        <f>O4+0.000001</f>
        <v>33.300000999999995</v>
      </c>
      <c r="S2" s="53" t="str">
        <f>B2</f>
        <v>Audrey Altman</v>
      </c>
      <c r="T2" s="53" t="str">
        <f>C2</f>
        <v>MWAC</v>
      </c>
    </row>
    <row r="3" spans="1:22" x14ac:dyDescent="0.25">
      <c r="A3" s="97"/>
      <c r="B3" s="98"/>
      <c r="C3" s="99"/>
      <c r="D3" s="46">
        <v>2</v>
      </c>
      <c r="E3" s="50" t="s">
        <v>46</v>
      </c>
      <c r="F3" s="45" t="str">
        <f>IF($E3="","",IF(ISNA(VLOOKUP($E3,DD!$A$2:$C$150,2,0)),"NO SUCH DIVE",VLOOKUP($E3,DD!$A$2:$C$150,2,0)))</f>
        <v>Back fall in</v>
      </c>
      <c r="G3" s="51">
        <f>IF($E3="","",IF(ISNA(VLOOKUP($E3,DD!$A$2:$C$150,3,0)),"",VLOOKUP($E3,DD!$A$2:$C$150,3,0)))</f>
        <v>1</v>
      </c>
      <c r="H3" s="52">
        <v>5</v>
      </c>
      <c r="I3" s="52">
        <v>4.5</v>
      </c>
      <c r="J3" s="52">
        <v>4.5</v>
      </c>
      <c r="K3" s="52">
        <v>4.5</v>
      </c>
      <c r="L3" s="52">
        <v>4.5</v>
      </c>
      <c r="M3" s="50">
        <v>1</v>
      </c>
      <c r="N3" s="45">
        <f t="shared" si="0"/>
        <v>7.5</v>
      </c>
      <c r="O3" s="45">
        <f>IF(N3="","",N3+O2)</f>
        <v>16.799999999999997</v>
      </c>
      <c r="R3" s="53">
        <f>O7+0.000002</f>
        <v>31.500001999999999</v>
      </c>
      <c r="S3" s="53" t="str">
        <f>B5</f>
        <v>Audrey Roy</v>
      </c>
      <c r="T3" s="53" t="str">
        <f>C5</f>
        <v>HCP</v>
      </c>
    </row>
    <row r="4" spans="1:22" x14ac:dyDescent="0.25">
      <c r="A4" s="97"/>
      <c r="B4" s="98"/>
      <c r="C4" s="99"/>
      <c r="D4" s="46">
        <v>3</v>
      </c>
      <c r="E4" s="50" t="s">
        <v>47</v>
      </c>
      <c r="F4" s="45" t="str">
        <f>IF($E4="","",IF(ISNA(VLOOKUP($E4,DD!$A$2:$C$150,2,0)),"NO SUCH DIVE",VLOOKUP($E4,DD!$A$2:$C$150,2,0)))</f>
        <v>Front fall-in</v>
      </c>
      <c r="G4" s="46">
        <f>IF($E4="","",IF(ISNA(VLOOKUP($E4,DD!$A$2:$C$150,3,0)),"",VLOOKUP($E4,DD!$A$2:$C$150,3,0)))</f>
        <v>1</v>
      </c>
      <c r="H4" s="52">
        <v>5</v>
      </c>
      <c r="I4" s="52">
        <v>5.5</v>
      </c>
      <c r="J4" s="52">
        <v>5.5</v>
      </c>
      <c r="K4" s="52">
        <v>6</v>
      </c>
      <c r="L4" s="52">
        <v>5.5</v>
      </c>
      <c r="M4" s="50"/>
      <c r="N4" s="45">
        <f t="shared" si="0"/>
        <v>16.5</v>
      </c>
      <c r="O4" s="54">
        <f>IF(N4="",0,N4+O3)</f>
        <v>33.299999999999997</v>
      </c>
      <c r="R4" s="53">
        <f>O10+0.000003</f>
        <v>53.400002999999998</v>
      </c>
      <c r="S4" s="53" t="str">
        <f>B8</f>
        <v>Autumn Davidson</v>
      </c>
      <c r="T4" s="53" t="str">
        <f>C8</f>
        <v>Val</v>
      </c>
    </row>
    <row r="5" spans="1:22" ht="15" customHeight="1" x14ac:dyDescent="0.25">
      <c r="A5" s="100">
        <v>2</v>
      </c>
      <c r="B5" s="101" t="s">
        <v>48</v>
      </c>
      <c r="C5" s="102" t="s">
        <v>49</v>
      </c>
      <c r="D5" s="55">
        <v>1</v>
      </c>
      <c r="E5" s="56" t="s">
        <v>45</v>
      </c>
      <c r="F5" s="57" t="str">
        <f>IF($E5="","",IF(ISNA(VLOOKUP($E5,DD!$A$2:$C$150,2,0)),"NO SUCH DIVE",VLOOKUP($E5,DD!$A$2:$C$150,2,0)))</f>
        <v>Front jump tuck</v>
      </c>
      <c r="G5" s="58">
        <f>IF($E5="","",IF(ISNA(VLOOKUP($E5,DD!$A$2:$C$150,3,0)),"",VLOOKUP($E5,DD!$A$2:$C$150,3,0)))</f>
        <v>0.6</v>
      </c>
      <c r="H5" s="59">
        <v>5.5</v>
      </c>
      <c r="I5" s="59">
        <v>5</v>
      </c>
      <c r="J5" s="59">
        <v>5</v>
      </c>
      <c r="K5" s="59">
        <v>5</v>
      </c>
      <c r="L5" s="59">
        <v>5</v>
      </c>
      <c r="M5" s="56"/>
      <c r="N5" s="57">
        <f t="shared" si="0"/>
        <v>9</v>
      </c>
      <c r="O5" s="57">
        <f>IF(N5="","",N5)</f>
        <v>9</v>
      </c>
      <c r="R5" s="53">
        <f>O13+0.000004</f>
        <v>46.350003999999998</v>
      </c>
      <c r="S5" s="53" t="str">
        <f>B11</f>
        <v>Avery Mark</v>
      </c>
      <c r="T5" s="53" t="str">
        <f>C11</f>
        <v>MWAC</v>
      </c>
    </row>
    <row r="6" spans="1:22" x14ac:dyDescent="0.25">
      <c r="A6" s="100"/>
      <c r="B6" s="101"/>
      <c r="C6" s="102"/>
      <c r="D6" s="55">
        <v>2</v>
      </c>
      <c r="E6" s="56" t="s">
        <v>50</v>
      </c>
      <c r="F6" s="57" t="str">
        <f>IF($E6="","",IF(ISNA(VLOOKUP($E6,DD!$A$2:$C$150,2,0)),"NO SUCH DIVE",VLOOKUP($E6,DD!$A$2:$C$150,2,0)))</f>
        <v>Back jump layout</v>
      </c>
      <c r="G6" s="58">
        <f>IF($E6="","",IF(ISNA(VLOOKUP($E6,DD!$A$2:$C$150,3,0)),"",VLOOKUP($E6,DD!$A$2:$C$150,3,0)))</f>
        <v>0.5</v>
      </c>
      <c r="H6" s="59">
        <v>5</v>
      </c>
      <c r="I6" s="59">
        <v>4.5</v>
      </c>
      <c r="J6" s="59">
        <v>5</v>
      </c>
      <c r="K6" s="59">
        <v>5</v>
      </c>
      <c r="L6" s="59">
        <v>5</v>
      </c>
      <c r="M6" s="56"/>
      <c r="N6" s="57">
        <f t="shared" si="0"/>
        <v>7.5</v>
      </c>
      <c r="O6" s="57">
        <f>IF(N6="","",N6+O5)</f>
        <v>16.5</v>
      </c>
      <c r="R6" s="53">
        <f>O16+0.000005</f>
        <v>49.400005</v>
      </c>
      <c r="S6" s="53" t="str">
        <f>B14</f>
        <v>Beckett Cummings</v>
      </c>
      <c r="T6" s="53" t="str">
        <f>C14</f>
        <v>Cedar</v>
      </c>
    </row>
    <row r="7" spans="1:22" x14ac:dyDescent="0.25">
      <c r="A7" s="100"/>
      <c r="B7" s="101"/>
      <c r="C7" s="102"/>
      <c r="D7" s="55">
        <v>3</v>
      </c>
      <c r="E7" s="56" t="s">
        <v>47</v>
      </c>
      <c r="F7" s="57" t="str">
        <f>IF($E7="","",IF(ISNA(VLOOKUP($E7,DD!$A$2:$C$150,2,0)),"NO SUCH DIVE",VLOOKUP($E7,DD!$A$2:$C$150,2,0)))</f>
        <v>Front fall-in</v>
      </c>
      <c r="G7" s="55">
        <f>IF($E7="","",IF(ISNA(VLOOKUP($E7,DD!$A$2:$C$150,3,0)),"",VLOOKUP($E7,DD!$A$2:$C$150,3,0)))</f>
        <v>1</v>
      </c>
      <c r="H7" s="59">
        <v>5.5</v>
      </c>
      <c r="I7" s="59">
        <v>4.5</v>
      </c>
      <c r="J7" s="59">
        <v>5</v>
      </c>
      <c r="K7" s="59">
        <v>5</v>
      </c>
      <c r="L7" s="59">
        <v>5</v>
      </c>
      <c r="M7" s="56"/>
      <c r="N7" s="57">
        <f t="shared" si="0"/>
        <v>15</v>
      </c>
      <c r="O7" s="60">
        <f>IF(N7="",0,N7+O6)</f>
        <v>31.5</v>
      </c>
      <c r="R7" s="53">
        <f>O19+0.000006</f>
        <v>39.800005999999996</v>
      </c>
      <c r="S7" s="53" t="str">
        <f>B17</f>
        <v>Bella Bolanis</v>
      </c>
      <c r="T7" s="53" t="str">
        <f>C17</f>
        <v>VIK</v>
      </c>
    </row>
    <row r="8" spans="1:22" ht="15" customHeight="1" x14ac:dyDescent="0.25">
      <c r="A8" s="97">
        <v>3</v>
      </c>
      <c r="B8" s="98" t="s">
        <v>51</v>
      </c>
      <c r="C8" s="99" t="s">
        <v>52</v>
      </c>
      <c r="D8" s="46">
        <v>1</v>
      </c>
      <c r="E8" s="50" t="s">
        <v>53</v>
      </c>
      <c r="F8" s="45" t="str">
        <f>IF($E8="","",IF(ISNA(VLOOKUP($E8,DD!$A$2:$C$150,2,0)),"NO SUCH DIVE",VLOOKUP($E8,DD!$A$2:$C$150,2,0)))</f>
        <v>Front jump pike</v>
      </c>
      <c r="G8" s="51">
        <f>IF($E8="","",IF(ISNA(VLOOKUP($E8,DD!$A$2:$C$150,3,0)),"",VLOOKUP($E8,DD!$A$2:$C$150,3,0)))</f>
        <v>0.6</v>
      </c>
      <c r="H8" s="52">
        <v>5</v>
      </c>
      <c r="I8" s="52">
        <v>6</v>
      </c>
      <c r="J8" s="52">
        <v>5.5</v>
      </c>
      <c r="K8" s="52">
        <v>6.5</v>
      </c>
      <c r="L8" s="52">
        <v>5.5</v>
      </c>
      <c r="M8" s="50"/>
      <c r="N8" s="45">
        <f t="shared" si="0"/>
        <v>10.199999999999999</v>
      </c>
      <c r="O8" s="45">
        <f>IF(N8="","",N8)</f>
        <v>10.199999999999999</v>
      </c>
      <c r="R8" s="53">
        <f>O22+0.000007</f>
        <v>49.750006999999997</v>
      </c>
      <c r="S8" s="53" t="str">
        <f>B20</f>
        <v>Brynn Anderson</v>
      </c>
      <c r="T8" s="53" t="str">
        <f>C20</f>
        <v>Side</v>
      </c>
    </row>
    <row r="9" spans="1:22" x14ac:dyDescent="0.25">
      <c r="A9" s="97"/>
      <c r="B9" s="98"/>
      <c r="C9" s="99"/>
      <c r="D9" s="46">
        <v>2</v>
      </c>
      <c r="E9" s="50" t="s">
        <v>46</v>
      </c>
      <c r="F9" s="45" t="str">
        <f>IF($E9="","",IF(ISNA(VLOOKUP($E9,DD!$A$2:$C$150,2,0)),"NO SUCH DIVE",VLOOKUP($E9,DD!$A$2:$C$150,2,0)))</f>
        <v>Back fall in</v>
      </c>
      <c r="G9" s="51">
        <f>IF($E9="","",IF(ISNA(VLOOKUP($E9,DD!$A$2:$C$150,3,0)),"",VLOOKUP($E9,DD!$A$2:$C$150,3,0)))</f>
        <v>1</v>
      </c>
      <c r="H9" s="52">
        <v>7</v>
      </c>
      <c r="I9" s="52">
        <v>6.5</v>
      </c>
      <c r="J9" s="52">
        <v>5.5</v>
      </c>
      <c r="K9" s="52">
        <v>6</v>
      </c>
      <c r="L9" s="52">
        <v>6</v>
      </c>
      <c r="M9" s="50"/>
      <c r="N9" s="45">
        <f t="shared" si="0"/>
        <v>18.5</v>
      </c>
      <c r="O9" s="45">
        <f>IF(N9="","",N9+O8)</f>
        <v>28.7</v>
      </c>
      <c r="R9" s="53">
        <f>O25+0.000008</f>
        <v>7.9999999999999996E-6</v>
      </c>
      <c r="S9" s="53">
        <f>B23</f>
        <v>0</v>
      </c>
      <c r="T9" s="53">
        <f>C23</f>
        <v>0</v>
      </c>
    </row>
    <row r="10" spans="1:22" x14ac:dyDescent="0.25">
      <c r="A10" s="97"/>
      <c r="B10" s="98"/>
      <c r="C10" s="99"/>
      <c r="D10" s="46">
        <v>3</v>
      </c>
      <c r="E10" s="50" t="s">
        <v>54</v>
      </c>
      <c r="F10" s="45" t="str">
        <f>IF($E10="","",IF(ISNA(VLOOKUP($E10,DD!$A$2:$C$150,2,0)),"NO SUCH DIVE",VLOOKUP($E10,DD!$A$2:$C$150,2,0)))</f>
        <v>Front dive layout</v>
      </c>
      <c r="G10" s="46">
        <f>IF($E10="","",IF(ISNA(VLOOKUP($E10,DD!$A$2:$C$150,3,0)),"",VLOOKUP($E10,DD!$A$2:$C$150,3,0)))</f>
        <v>1.3</v>
      </c>
      <c r="H10" s="52">
        <v>5.5</v>
      </c>
      <c r="I10" s="52">
        <v>6.5</v>
      </c>
      <c r="J10" s="52">
        <v>6.5</v>
      </c>
      <c r="K10" s="52">
        <v>7</v>
      </c>
      <c r="L10" s="52">
        <v>6</v>
      </c>
      <c r="M10" s="50"/>
      <c r="N10" s="45">
        <f t="shared" si="0"/>
        <v>24.7</v>
      </c>
      <c r="O10" s="54">
        <f>IF(N10="",0,N10+O9)</f>
        <v>53.4</v>
      </c>
      <c r="R10" s="53">
        <f>O28+0.000009</f>
        <v>38.900008999999997</v>
      </c>
      <c r="S10" s="53" t="str">
        <f>B26</f>
        <v>Chloe McLean</v>
      </c>
      <c r="T10" s="53" t="str">
        <f>C26</f>
        <v>Cedar</v>
      </c>
    </row>
    <row r="11" spans="1:22" ht="15" customHeight="1" x14ac:dyDescent="0.25">
      <c r="A11" s="100">
        <v>4</v>
      </c>
      <c r="B11" s="101" t="s">
        <v>55</v>
      </c>
      <c r="C11" s="102" t="s">
        <v>44</v>
      </c>
      <c r="D11" s="55">
        <v>1</v>
      </c>
      <c r="E11" s="56" t="s">
        <v>45</v>
      </c>
      <c r="F11" s="57" t="str">
        <f>IF($E11="","",IF(ISNA(VLOOKUP($E11,DD!$A$2:$C$150,2,0)),"NO SUCH DIVE",VLOOKUP($E11,DD!$A$2:$C$150,2,0)))</f>
        <v>Front jump tuck</v>
      </c>
      <c r="G11" s="58">
        <f>IF($E11="","",IF(ISNA(VLOOKUP($E11,DD!$A$2:$C$150,3,0)),"",VLOOKUP($E11,DD!$A$2:$C$150,3,0)))</f>
        <v>0.6</v>
      </c>
      <c r="H11" s="59">
        <v>6.5</v>
      </c>
      <c r="I11" s="59">
        <v>5.5</v>
      </c>
      <c r="J11" s="59">
        <v>5.5</v>
      </c>
      <c r="K11" s="59">
        <v>5</v>
      </c>
      <c r="L11" s="59">
        <v>6</v>
      </c>
      <c r="M11" s="56"/>
      <c r="N11" s="57">
        <f t="shared" si="0"/>
        <v>10.199999999999999</v>
      </c>
      <c r="O11" s="57">
        <f>IF(N11="","",N11)</f>
        <v>10.199999999999999</v>
      </c>
      <c r="R11" s="53">
        <f>O31+0.00001</f>
        <v>39.700010000000006</v>
      </c>
      <c r="S11" s="53" t="str">
        <f>B29</f>
        <v>Émilie Dubois</v>
      </c>
      <c r="T11" s="53" t="str">
        <f>C29</f>
        <v>VIK</v>
      </c>
    </row>
    <row r="12" spans="1:22" x14ac:dyDescent="0.25">
      <c r="A12" s="100"/>
      <c r="B12" s="101"/>
      <c r="C12" s="102"/>
      <c r="D12" s="55">
        <v>2</v>
      </c>
      <c r="E12" s="56" t="s">
        <v>46</v>
      </c>
      <c r="F12" s="57" t="str">
        <f>IF($E12="","",IF(ISNA(VLOOKUP($E12,DD!$A$2:$C$150,2,0)),"NO SUCH DIVE",VLOOKUP($E12,DD!$A$2:$C$150,2,0)))</f>
        <v>Back fall in</v>
      </c>
      <c r="G12" s="58">
        <f>IF($E12="","",IF(ISNA(VLOOKUP($E12,DD!$A$2:$C$150,3,0)),"",VLOOKUP($E12,DD!$A$2:$C$150,3,0)))</f>
        <v>1</v>
      </c>
      <c r="H12" s="59">
        <v>6</v>
      </c>
      <c r="I12" s="59">
        <v>5.5</v>
      </c>
      <c r="J12" s="59">
        <v>5</v>
      </c>
      <c r="K12" s="59">
        <v>5.5</v>
      </c>
      <c r="L12" s="59">
        <v>5</v>
      </c>
      <c r="M12" s="56"/>
      <c r="N12" s="57">
        <f t="shared" si="0"/>
        <v>16</v>
      </c>
      <c r="O12" s="57">
        <f>IF(N12="","",N12+O11)</f>
        <v>26.2</v>
      </c>
      <c r="R12" s="53">
        <f>O34+0.000011</f>
        <v>33.900010999999999</v>
      </c>
      <c r="S12" s="53" t="str">
        <f>B32</f>
        <v>Emmanuelle Pomerleau</v>
      </c>
      <c r="T12" s="53" t="str">
        <f>C32</f>
        <v>HCP</v>
      </c>
    </row>
    <row r="13" spans="1:22" x14ac:dyDescent="0.25">
      <c r="A13" s="100"/>
      <c r="B13" s="101"/>
      <c r="C13" s="102"/>
      <c r="D13" s="55">
        <v>3</v>
      </c>
      <c r="E13" s="56" t="s">
        <v>54</v>
      </c>
      <c r="F13" s="57" t="str">
        <f>IF($E13="","",IF(ISNA(VLOOKUP($E13,DD!$A$2:$C$150,2,0)),"NO SUCH DIVE",VLOOKUP($E13,DD!$A$2:$C$150,2,0)))</f>
        <v>Front dive layout</v>
      </c>
      <c r="G13" s="55">
        <f>IF($E13="","",IF(ISNA(VLOOKUP($E13,DD!$A$2:$C$150,3,0)),"",VLOOKUP($E13,DD!$A$2:$C$150,3,0)))</f>
        <v>1.3</v>
      </c>
      <c r="H13" s="59">
        <v>5</v>
      </c>
      <c r="I13" s="59">
        <v>5</v>
      </c>
      <c r="J13" s="59">
        <v>5.5</v>
      </c>
      <c r="K13" s="59">
        <v>5.5</v>
      </c>
      <c r="L13" s="59">
        <v>5</v>
      </c>
      <c r="M13" s="56"/>
      <c r="N13" s="57">
        <f t="shared" si="0"/>
        <v>20.150000000000002</v>
      </c>
      <c r="O13" s="60">
        <f>IF(N13="",0,N13+O12)</f>
        <v>46.35</v>
      </c>
      <c r="R13" s="53">
        <f>O37+0.000012</f>
        <v>34.450012000000001</v>
      </c>
      <c r="S13" s="53" t="str">
        <f>B35</f>
        <v>Kira Leslie</v>
      </c>
      <c r="T13" s="53" t="str">
        <f>C35</f>
        <v>Cedar</v>
      </c>
    </row>
    <row r="14" spans="1:22" ht="15" customHeight="1" x14ac:dyDescent="0.25">
      <c r="A14" s="97">
        <v>5</v>
      </c>
      <c r="B14" s="98" t="s">
        <v>56</v>
      </c>
      <c r="C14" s="99" t="s">
        <v>57</v>
      </c>
      <c r="D14" s="46">
        <v>1</v>
      </c>
      <c r="E14" s="50" t="s">
        <v>45</v>
      </c>
      <c r="F14" s="45" t="str">
        <f>IF($E14="","",IF(ISNA(VLOOKUP($E14,DD!$A$2:$C$150,2,0)),"NO SUCH DIVE",VLOOKUP($E14,DD!$A$2:$C$150,2,0)))</f>
        <v>Front jump tuck</v>
      </c>
      <c r="G14" s="51">
        <f>IF($E14="","",IF(ISNA(VLOOKUP($E14,DD!$A$2:$C$150,3,0)),"",VLOOKUP($E14,DD!$A$2:$C$150,3,0)))</f>
        <v>0.6</v>
      </c>
      <c r="H14" s="52">
        <v>6</v>
      </c>
      <c r="I14" s="52">
        <v>5.5</v>
      </c>
      <c r="J14" s="52">
        <v>6</v>
      </c>
      <c r="K14" s="52">
        <v>6.5</v>
      </c>
      <c r="L14" s="52">
        <v>7</v>
      </c>
      <c r="M14" s="50"/>
      <c r="N14" s="45">
        <f t="shared" si="0"/>
        <v>11.1</v>
      </c>
      <c r="O14" s="45">
        <f>IF(N14="","",N14)</f>
        <v>11.1</v>
      </c>
      <c r="R14" s="53">
        <f>O40+0.000013</f>
        <v>44.300013</v>
      </c>
      <c r="S14" s="53" t="str">
        <f>B38</f>
        <v>Juliana Hillier</v>
      </c>
      <c r="T14" s="53" t="str">
        <f>C38</f>
        <v>Cedar</v>
      </c>
    </row>
    <row r="15" spans="1:22" x14ac:dyDescent="0.25">
      <c r="A15" s="97"/>
      <c r="B15" s="98"/>
      <c r="C15" s="99"/>
      <c r="D15" s="46">
        <v>2</v>
      </c>
      <c r="E15" s="50" t="s">
        <v>58</v>
      </c>
      <c r="F15" s="45" t="str">
        <f>IF($E15="","",IF(ISNA(VLOOKUP($E15,DD!$A$2:$C$150,2,0)),"NO SUCH DIVE",VLOOKUP($E15,DD!$A$2:$C$150,2,0)))</f>
        <v>Back dive layout</v>
      </c>
      <c r="G15" s="51">
        <f>IF($E15="","",IF(ISNA(VLOOKUP($E15,DD!$A$2:$C$150,3,0)),"",VLOOKUP($E15,DD!$A$2:$C$150,3,0)))</f>
        <v>1.4</v>
      </c>
      <c r="H15" s="52">
        <v>5</v>
      </c>
      <c r="I15" s="52">
        <v>4.5</v>
      </c>
      <c r="J15" s="52">
        <v>5</v>
      </c>
      <c r="K15" s="52">
        <v>4.5</v>
      </c>
      <c r="L15" s="52">
        <v>5</v>
      </c>
      <c r="M15" s="50"/>
      <c r="N15" s="45">
        <f t="shared" si="0"/>
        <v>20.299999999999997</v>
      </c>
      <c r="O15" s="45">
        <f>IF(N15="","",N15+O14)</f>
        <v>31.4</v>
      </c>
      <c r="R15" s="53">
        <f>O43+0.000014</f>
        <v>30.000014</v>
      </c>
      <c r="S15" s="53" t="str">
        <f>B41</f>
        <v>Tori Barnes</v>
      </c>
      <c r="T15" s="53" t="str">
        <f>C41</f>
        <v>BHILL</v>
      </c>
    </row>
    <row r="16" spans="1:22" x14ac:dyDescent="0.25">
      <c r="A16" s="97"/>
      <c r="B16" s="98"/>
      <c r="C16" s="99"/>
      <c r="D16" s="46">
        <v>3</v>
      </c>
      <c r="E16" s="50" t="s">
        <v>47</v>
      </c>
      <c r="F16" s="45" t="str">
        <f>IF($E16="","",IF(ISNA(VLOOKUP($E16,DD!$A$2:$C$150,2,0)),"NO SUCH DIVE",VLOOKUP($E16,DD!$A$2:$C$150,2,0)))</f>
        <v>Front fall-in</v>
      </c>
      <c r="G16" s="46">
        <f>IF($E16="","",IF(ISNA(VLOOKUP($E16,DD!$A$2:$C$150,3,0)),"",VLOOKUP($E16,DD!$A$2:$C$150,3,0)))</f>
        <v>1</v>
      </c>
      <c r="H16" s="52">
        <v>6</v>
      </c>
      <c r="I16" s="52">
        <v>6</v>
      </c>
      <c r="J16" s="52">
        <v>5</v>
      </c>
      <c r="K16" s="52">
        <v>6.5</v>
      </c>
      <c r="L16" s="52">
        <v>6</v>
      </c>
      <c r="M16" s="50"/>
      <c r="N16" s="45">
        <f t="shared" si="0"/>
        <v>18</v>
      </c>
      <c r="O16" s="54">
        <f>IF(N16="",0,N16+O15)</f>
        <v>49.4</v>
      </c>
      <c r="R16" s="53">
        <f>O46+0.000015</f>
        <v>41.600014999999999</v>
      </c>
      <c r="S16" s="53" t="str">
        <f>B44</f>
        <v>Clementine N-J</v>
      </c>
      <c r="T16" s="53" t="str">
        <f>C44</f>
        <v>Val</v>
      </c>
    </row>
    <row r="17" spans="1:20" ht="15" customHeight="1" x14ac:dyDescent="0.25">
      <c r="A17" s="100">
        <v>6</v>
      </c>
      <c r="B17" s="101" t="s">
        <v>59</v>
      </c>
      <c r="C17" s="102" t="s">
        <v>60</v>
      </c>
      <c r="D17" s="55">
        <v>1</v>
      </c>
      <c r="E17" s="56" t="s">
        <v>45</v>
      </c>
      <c r="F17" s="57" t="str">
        <f>IF($E17="","",IF(ISNA(VLOOKUP($E17,DD!$A$2:$C$150,2,0)),"NO SUCH DIVE",VLOOKUP($E17,DD!$A$2:$C$150,2,0)))</f>
        <v>Front jump tuck</v>
      </c>
      <c r="G17" s="58">
        <f>IF($E17="","",IF(ISNA(VLOOKUP($E17,DD!$A$2:$C$150,3,0)),"",VLOOKUP($E17,DD!$A$2:$C$150,3,0)))</f>
        <v>0.6</v>
      </c>
      <c r="H17" s="59">
        <v>6</v>
      </c>
      <c r="I17" s="59">
        <v>6</v>
      </c>
      <c r="J17" s="59">
        <v>5.5</v>
      </c>
      <c r="K17" s="59">
        <v>6</v>
      </c>
      <c r="L17" s="59">
        <v>6</v>
      </c>
      <c r="M17" s="56"/>
      <c r="N17" s="57">
        <f t="shared" si="0"/>
        <v>10.799999999999999</v>
      </c>
      <c r="O17" s="57">
        <f>IF(N17="","",N17)</f>
        <v>10.799999999999999</v>
      </c>
      <c r="R17" s="53">
        <f>O49+0.000016</f>
        <v>40.600016000000004</v>
      </c>
      <c r="S17" s="53" t="str">
        <f>B47</f>
        <v>Maddy Machado</v>
      </c>
      <c r="T17" s="53" t="str">
        <f>C47</f>
        <v>Val</v>
      </c>
    </row>
    <row r="18" spans="1:20" x14ac:dyDescent="0.25">
      <c r="A18" s="100"/>
      <c r="B18" s="101"/>
      <c r="C18" s="102"/>
      <c r="D18" s="55">
        <v>2</v>
      </c>
      <c r="E18" s="56" t="s">
        <v>61</v>
      </c>
      <c r="F18" s="57" t="str">
        <f>IF($E18="","",IF(ISNA(VLOOKUP($E18,DD!$A$2:$C$150,2,0)),"NO SUCH DIVE",VLOOKUP($E18,DD!$A$2:$C$150,2,0)))</f>
        <v>Back jump tuck</v>
      </c>
      <c r="G18" s="58">
        <f>IF($E18="","",IF(ISNA(VLOOKUP($E18,DD!$A$2:$C$150,3,0)),"",VLOOKUP($E18,DD!$A$2:$C$150,3,0)))</f>
        <v>0.6</v>
      </c>
      <c r="H18" s="59">
        <v>6</v>
      </c>
      <c r="I18" s="59">
        <v>5.5</v>
      </c>
      <c r="J18" s="59">
        <v>5.5</v>
      </c>
      <c r="K18" s="59">
        <v>6</v>
      </c>
      <c r="L18" s="59">
        <v>6</v>
      </c>
      <c r="M18" s="56"/>
      <c r="N18" s="57">
        <f t="shared" si="0"/>
        <v>10.5</v>
      </c>
      <c r="O18" s="57">
        <f>IF(N18="","",N18+O17)</f>
        <v>21.299999999999997</v>
      </c>
      <c r="R18" s="53">
        <f>O52+0.000017</f>
        <v>36.500017</v>
      </c>
      <c r="S18" s="53" t="str">
        <f>B50</f>
        <v>Mackenzie Landry-Johnston</v>
      </c>
      <c r="T18" s="53" t="str">
        <f>C50</f>
        <v>Cedar</v>
      </c>
    </row>
    <row r="19" spans="1:20" x14ac:dyDescent="0.25">
      <c r="A19" s="100"/>
      <c r="B19" s="101"/>
      <c r="C19" s="102"/>
      <c r="D19" s="55">
        <v>3</v>
      </c>
      <c r="E19" s="56" t="s">
        <v>47</v>
      </c>
      <c r="F19" s="57" t="str">
        <f>IF($E19="","",IF(ISNA(VLOOKUP($E19,DD!$A$2:$C$150,2,0)),"NO SUCH DIVE",VLOOKUP($E19,DD!$A$2:$C$150,2,0)))</f>
        <v>Front fall-in</v>
      </c>
      <c r="G19" s="55">
        <f>IF($E19="","",IF(ISNA(VLOOKUP($E19,DD!$A$2:$C$150,3,0)),"",VLOOKUP($E19,DD!$A$2:$C$150,3,0)))</f>
        <v>1</v>
      </c>
      <c r="H19" s="59">
        <v>7</v>
      </c>
      <c r="I19" s="59">
        <v>6</v>
      </c>
      <c r="J19" s="59">
        <v>5.5</v>
      </c>
      <c r="K19" s="59">
        <v>7</v>
      </c>
      <c r="L19" s="59">
        <v>5.5</v>
      </c>
      <c r="M19" s="56"/>
      <c r="N19" s="57">
        <f t="shared" si="0"/>
        <v>18.5</v>
      </c>
      <c r="O19" s="60">
        <f>IF(N19="",0,N19+O18)</f>
        <v>39.799999999999997</v>
      </c>
      <c r="R19" s="53">
        <f>O55+0.000018</f>
        <v>1.8E-5</v>
      </c>
      <c r="S19" s="53">
        <f>B53</f>
        <v>0</v>
      </c>
      <c r="T19" s="53">
        <f>C53</f>
        <v>0</v>
      </c>
    </row>
    <row r="20" spans="1:20" ht="15" customHeight="1" x14ac:dyDescent="0.25">
      <c r="A20" s="97">
        <v>7</v>
      </c>
      <c r="B20" s="98" t="s">
        <v>62</v>
      </c>
      <c r="C20" s="99" t="s">
        <v>4</v>
      </c>
      <c r="D20" s="46">
        <v>1</v>
      </c>
      <c r="E20" s="50" t="s">
        <v>63</v>
      </c>
      <c r="F20" s="45" t="str">
        <f>IF($E20="","",IF(ISNA(VLOOKUP($E20,DD!$A$2:$C$150,2,0)),"NO SUCH DIVE",VLOOKUP($E20,DD!$A$2:$C$150,2,0)))</f>
        <v>Front jump layout</v>
      </c>
      <c r="G20" s="51">
        <f>IF($E20="","",IF(ISNA(VLOOKUP($E20,DD!$A$2:$C$150,3,0)),"",VLOOKUP($E20,DD!$A$2:$C$150,3,0)))</f>
        <v>0.5</v>
      </c>
      <c r="H20" s="52">
        <v>5</v>
      </c>
      <c r="I20" s="52">
        <v>6</v>
      </c>
      <c r="J20" s="52">
        <v>5.5</v>
      </c>
      <c r="K20" s="52">
        <v>6</v>
      </c>
      <c r="L20" s="52">
        <v>6</v>
      </c>
      <c r="M20" s="50"/>
      <c r="N20" s="45">
        <f t="shared" si="0"/>
        <v>8.75</v>
      </c>
      <c r="O20" s="45">
        <f>IF(N20="","",N20)</f>
        <v>8.75</v>
      </c>
      <c r="R20" s="53">
        <f>O58+0.000019</f>
        <v>42.900019000000007</v>
      </c>
      <c r="S20" s="53" t="str">
        <f>B56</f>
        <v>Mimi Politis</v>
      </c>
      <c r="T20" s="53" t="str">
        <f>C56</f>
        <v>HCP</v>
      </c>
    </row>
    <row r="21" spans="1:20" x14ac:dyDescent="0.25">
      <c r="A21" s="97"/>
      <c r="B21" s="98"/>
      <c r="C21" s="99"/>
      <c r="D21" s="46">
        <v>2</v>
      </c>
      <c r="E21" s="50" t="s">
        <v>64</v>
      </c>
      <c r="F21" s="45" t="str">
        <f>IF($E21="","",IF(ISNA(VLOOKUP($E21,DD!$A$2:$C$150,2,0)),"NO SUCH DIVE",VLOOKUP($E21,DD!$A$2:$C$150,2,0)))</f>
        <v>Back dive ½ twist layout</v>
      </c>
      <c r="G21" s="51">
        <f>IF($E21="","",IF(ISNA(VLOOKUP($E21,DD!$A$2:$C$150,3,0)),"",VLOOKUP($E21,DD!$A$2:$C$150,3,0)))</f>
        <v>1.4</v>
      </c>
      <c r="H21" s="52">
        <v>4</v>
      </c>
      <c r="I21" s="52">
        <v>4.5</v>
      </c>
      <c r="J21" s="52">
        <v>4.5</v>
      </c>
      <c r="K21" s="52">
        <v>4.5</v>
      </c>
      <c r="L21" s="52">
        <v>4.5</v>
      </c>
      <c r="M21" s="50"/>
      <c r="N21" s="45">
        <f t="shared" si="0"/>
        <v>18.899999999999999</v>
      </c>
      <c r="O21" s="45">
        <f>IF(N21="","",N21+O20)</f>
        <v>27.65</v>
      </c>
      <c r="R21" s="53">
        <f>O61+0.00002</f>
        <v>37.500019999999999</v>
      </c>
      <c r="S21" s="53" t="str">
        <f>B59</f>
        <v>Reagan Cummings</v>
      </c>
      <c r="T21" s="53" t="str">
        <f>C59</f>
        <v>Cedar</v>
      </c>
    </row>
    <row r="22" spans="1:20" x14ac:dyDescent="0.25">
      <c r="A22" s="97"/>
      <c r="B22" s="98"/>
      <c r="C22" s="99"/>
      <c r="D22" s="46">
        <v>3</v>
      </c>
      <c r="E22" s="50" t="s">
        <v>54</v>
      </c>
      <c r="F22" s="45" t="str">
        <f>IF($E22="","",IF(ISNA(VLOOKUP($E22,DD!$A$2:$C$150,2,0)),"NO SUCH DIVE",VLOOKUP($E22,DD!$A$2:$C$150,2,0)))</f>
        <v>Front dive layout</v>
      </c>
      <c r="G22" s="46">
        <f>IF($E22="","",IF(ISNA(VLOOKUP($E22,DD!$A$2:$C$150,3,0)),"",VLOOKUP($E22,DD!$A$2:$C$150,3,0)))</f>
        <v>1.3</v>
      </c>
      <c r="H22" s="52">
        <v>5.5</v>
      </c>
      <c r="I22" s="52">
        <v>6</v>
      </c>
      <c r="J22" s="52">
        <v>5.5</v>
      </c>
      <c r="K22" s="52">
        <v>6</v>
      </c>
      <c r="L22" s="52">
        <v>5</v>
      </c>
      <c r="M22" s="50"/>
      <c r="N22" s="45">
        <f t="shared" si="0"/>
        <v>22.1</v>
      </c>
      <c r="O22" s="54">
        <f>IF(N22="",0,N22+O21)</f>
        <v>49.75</v>
      </c>
      <c r="R22" s="53">
        <f>O64+0.000021</f>
        <v>31.000021</v>
      </c>
      <c r="S22" s="53" t="str">
        <f>B62</f>
        <v>Rylan Miller</v>
      </c>
      <c r="T22" s="53" t="str">
        <f>C62</f>
        <v>Cedar</v>
      </c>
    </row>
    <row r="23" spans="1:20" x14ac:dyDescent="0.25">
      <c r="A23" s="100">
        <v>8</v>
      </c>
      <c r="B23" s="101"/>
      <c r="C23" s="102"/>
      <c r="D23" s="55">
        <v>1</v>
      </c>
      <c r="E23" s="56"/>
      <c r="F23" s="57" t="str">
        <f>IF($E23="","",IF(ISNA(VLOOKUP($E23,DD!$A$2:$C$150,2,0)),"NO SUCH DIVE",VLOOKUP($E23,DD!$A$2:$C$150,2,0)))</f>
        <v/>
      </c>
      <c r="G23" s="58" t="str">
        <f>IF($E23="","",IF(ISNA(VLOOKUP($E23,DD!$A$2:$C$150,3,0)),"",VLOOKUP($E23,DD!$A$2:$C$150,3,0)))</f>
        <v/>
      </c>
      <c r="H23" s="59"/>
      <c r="I23" s="59"/>
      <c r="J23" s="59"/>
      <c r="K23" s="59"/>
      <c r="L23" s="59"/>
      <c r="M23" s="56"/>
      <c r="N23" s="57" t="str">
        <f t="shared" si="0"/>
        <v/>
      </c>
      <c r="O23" s="57" t="str">
        <f>IF(N23="","",N23)</f>
        <v/>
      </c>
      <c r="R23" s="53">
        <f>O67+0.000022</f>
        <v>71.150022000000007</v>
      </c>
      <c r="S23" s="53" t="str">
        <f>B65</f>
        <v>Madeline Van Sickle</v>
      </c>
      <c r="T23" s="53" t="str">
        <f>C65</f>
        <v>PVPC</v>
      </c>
    </row>
    <row r="24" spans="1:20" x14ac:dyDescent="0.25">
      <c r="A24" s="100"/>
      <c r="B24" s="101"/>
      <c r="C24" s="102"/>
      <c r="D24" s="55">
        <v>2</v>
      </c>
      <c r="E24" s="61"/>
      <c r="F24" s="57" t="str">
        <f>IF($E24="","",IF(ISNA(VLOOKUP($E24,DD!$A$2:$C$150,2,0)),"NO SUCH DIVE",VLOOKUP($E24,DD!$A$2:$C$150,2,0)))</f>
        <v/>
      </c>
      <c r="G24" s="58" t="str">
        <f>IF($E24="","",IF(ISNA(VLOOKUP($E24,DD!$A$2:$C$150,3,0)),"",VLOOKUP($E24,DD!$A$2:$C$150,3,0)))</f>
        <v/>
      </c>
      <c r="H24" s="59"/>
      <c r="I24" s="59"/>
      <c r="J24" s="59"/>
      <c r="K24" s="59"/>
      <c r="L24" s="59"/>
      <c r="M24" s="56"/>
      <c r="N24" s="57" t="str">
        <f t="shared" si="0"/>
        <v/>
      </c>
      <c r="O24" s="57" t="str">
        <f>IF(N24="","",N24+O23)</f>
        <v/>
      </c>
      <c r="R24" s="53">
        <f>O70+0.000023</f>
        <v>2.3E-5</v>
      </c>
      <c r="S24" s="53">
        <f>B68</f>
        <v>0</v>
      </c>
      <c r="T24" s="53">
        <f>C68</f>
        <v>0</v>
      </c>
    </row>
    <row r="25" spans="1:20" x14ac:dyDescent="0.25">
      <c r="A25" s="100"/>
      <c r="B25" s="101"/>
      <c r="C25" s="102"/>
      <c r="D25" s="55">
        <v>3</v>
      </c>
      <c r="E25" s="61"/>
      <c r="F25" s="57" t="str">
        <f>IF($E25="","",IF(ISNA(VLOOKUP($E25,DD!$A$2:$C$150,2,0)),"NO SUCH DIVE",VLOOKUP($E25,DD!$A$2:$C$150,2,0)))</f>
        <v/>
      </c>
      <c r="G25" s="55" t="str">
        <f>IF($E25="","",IF(ISNA(VLOOKUP($E25,DD!$A$2:$C$150,3,0)),"",VLOOKUP($E25,DD!$A$2:$C$150,3,0)))</f>
        <v/>
      </c>
      <c r="H25" s="59"/>
      <c r="I25" s="59"/>
      <c r="J25" s="59"/>
      <c r="K25" s="59"/>
      <c r="L25" s="59"/>
      <c r="M25" s="56"/>
      <c r="N25" s="57" t="str">
        <f t="shared" si="0"/>
        <v/>
      </c>
      <c r="O25" s="60">
        <f>IF(N25="",0,N25+O24)</f>
        <v>0</v>
      </c>
      <c r="R25" s="53">
        <f>O73+0.000024</f>
        <v>34.950024000000006</v>
      </c>
      <c r="S25" s="53" t="str">
        <f>B71</f>
        <v>Thalia Graham</v>
      </c>
      <c r="T25" s="53" t="str">
        <f>C71</f>
        <v>Cedar</v>
      </c>
    </row>
    <row r="26" spans="1:20" ht="15" customHeight="1" x14ac:dyDescent="0.25">
      <c r="A26" s="97">
        <v>9</v>
      </c>
      <c r="B26" s="98" t="s">
        <v>65</v>
      </c>
      <c r="C26" s="99" t="s">
        <v>57</v>
      </c>
      <c r="D26" s="46">
        <v>1</v>
      </c>
      <c r="E26" s="50" t="s">
        <v>45</v>
      </c>
      <c r="F26" s="45" t="str">
        <f>IF($E26="","",IF(ISNA(VLOOKUP($E26,DD!$A$2:$C$150,2,0)),"NO SUCH DIVE",VLOOKUP($E26,DD!$A$2:$C$150,2,0)))</f>
        <v>Front jump tuck</v>
      </c>
      <c r="G26" s="51">
        <f>IF($E26="","",IF(ISNA(VLOOKUP($E26,DD!$A$2:$C$150,3,0)),"",VLOOKUP($E26,DD!$A$2:$C$150,3,0)))</f>
        <v>0.6</v>
      </c>
      <c r="H26" s="52">
        <v>5</v>
      </c>
      <c r="I26" s="52">
        <v>6</v>
      </c>
      <c r="J26" s="52">
        <v>5.5</v>
      </c>
      <c r="K26" s="52">
        <v>6</v>
      </c>
      <c r="L26" s="52">
        <v>5.5</v>
      </c>
      <c r="M26" s="50"/>
      <c r="N26" s="45">
        <f t="shared" si="0"/>
        <v>10.199999999999999</v>
      </c>
      <c r="O26" s="45">
        <f>IF(N26="","",N26)</f>
        <v>10.199999999999999</v>
      </c>
      <c r="R26" s="53">
        <v>0</v>
      </c>
    </row>
    <row r="27" spans="1:20" x14ac:dyDescent="0.25">
      <c r="A27" s="97"/>
      <c r="B27" s="98"/>
      <c r="C27" s="99"/>
      <c r="D27" s="46">
        <v>2</v>
      </c>
      <c r="E27" s="50" t="s">
        <v>61</v>
      </c>
      <c r="F27" s="45" t="str">
        <f>IF($E27="","",IF(ISNA(VLOOKUP($E27,DD!$A$2:$C$150,2,0)),"NO SUCH DIVE",VLOOKUP($E27,DD!$A$2:$C$150,2,0)))</f>
        <v>Back jump tuck</v>
      </c>
      <c r="G27" s="51">
        <f>IF($E27="","",IF(ISNA(VLOOKUP($E27,DD!$A$2:$C$150,3,0)),"",VLOOKUP($E27,DD!$A$2:$C$150,3,0)))</f>
        <v>0.6</v>
      </c>
      <c r="H27" s="52">
        <v>5.5</v>
      </c>
      <c r="I27" s="52">
        <v>5.5</v>
      </c>
      <c r="J27" s="52">
        <v>5.5</v>
      </c>
      <c r="K27" s="52">
        <v>6</v>
      </c>
      <c r="L27" s="52">
        <v>6</v>
      </c>
      <c r="M27" s="50"/>
      <c r="N27" s="45">
        <f t="shared" si="0"/>
        <v>10.199999999999999</v>
      </c>
      <c r="O27" s="45">
        <f>IF(N27="","",N27+O26)</f>
        <v>20.399999999999999</v>
      </c>
    </row>
    <row r="28" spans="1:20" x14ac:dyDescent="0.25">
      <c r="A28" s="97"/>
      <c r="B28" s="98"/>
      <c r="C28" s="99"/>
      <c r="D28" s="46">
        <v>3</v>
      </c>
      <c r="E28" s="50" t="s">
        <v>47</v>
      </c>
      <c r="F28" s="45" t="str">
        <f>IF($E28="","",IF(ISNA(VLOOKUP($E28,DD!$A$2:$C$150,2,0)),"NO SUCH DIVE",VLOOKUP($E28,DD!$A$2:$C$150,2,0)))</f>
        <v>Front fall-in</v>
      </c>
      <c r="G28" s="46">
        <f>IF($E28="","",IF(ISNA(VLOOKUP($E28,DD!$A$2:$C$150,3,0)),"",VLOOKUP($E28,DD!$A$2:$C$150,3,0)))</f>
        <v>1</v>
      </c>
      <c r="H28" s="52">
        <v>7</v>
      </c>
      <c r="I28" s="52">
        <v>5.5</v>
      </c>
      <c r="J28" s="52">
        <v>5.5</v>
      </c>
      <c r="K28" s="52">
        <v>7</v>
      </c>
      <c r="L28" s="52">
        <v>6</v>
      </c>
      <c r="M28" s="50"/>
      <c r="N28" s="45">
        <f t="shared" si="0"/>
        <v>18.5</v>
      </c>
      <c r="O28" s="54">
        <f>IF(N28="",0,N28+O27)</f>
        <v>38.9</v>
      </c>
    </row>
    <row r="29" spans="1:20" ht="15" customHeight="1" x14ac:dyDescent="0.25">
      <c r="A29" s="100">
        <v>10</v>
      </c>
      <c r="B29" s="101" t="s">
        <v>66</v>
      </c>
      <c r="C29" s="102" t="s">
        <v>60</v>
      </c>
      <c r="D29" s="55">
        <v>1</v>
      </c>
      <c r="E29" s="56" t="s">
        <v>45</v>
      </c>
      <c r="F29" s="57" t="str">
        <f>IF($E29="","",IF(ISNA(VLOOKUP($E29,DD!$A$2:$C$150,2,0)),"NO SUCH DIVE",VLOOKUP($E29,DD!$A$2:$C$150,2,0)))</f>
        <v>Front jump tuck</v>
      </c>
      <c r="G29" s="58">
        <f>IF($E29="","",IF(ISNA(VLOOKUP($E29,DD!$A$2:$C$150,3,0)),"",VLOOKUP($E29,DD!$A$2:$C$150,3,0)))</f>
        <v>0.6</v>
      </c>
      <c r="H29" s="59">
        <v>7.5</v>
      </c>
      <c r="I29" s="59">
        <v>6.5</v>
      </c>
      <c r="J29" s="59">
        <v>5.5</v>
      </c>
      <c r="K29" s="59">
        <v>5.5</v>
      </c>
      <c r="L29" s="59">
        <v>6.5</v>
      </c>
      <c r="M29" s="56"/>
      <c r="N29" s="57">
        <f t="shared" si="0"/>
        <v>11.1</v>
      </c>
      <c r="O29" s="57">
        <f>IF(N29="","",N29)</f>
        <v>11.1</v>
      </c>
    </row>
    <row r="30" spans="1:20" x14ac:dyDescent="0.25">
      <c r="A30" s="100"/>
      <c r="B30" s="101"/>
      <c r="C30" s="102"/>
      <c r="D30" s="55">
        <v>2</v>
      </c>
      <c r="E30" s="56" t="s">
        <v>61</v>
      </c>
      <c r="F30" s="57" t="str">
        <f>IF($E30="","",IF(ISNA(VLOOKUP($E30,DD!$A$2:$C$150,2,0)),"NO SUCH DIVE",VLOOKUP($E30,DD!$A$2:$C$150,2,0)))</f>
        <v>Back jump tuck</v>
      </c>
      <c r="G30" s="58">
        <f>IF($E30="","",IF(ISNA(VLOOKUP($E30,DD!$A$2:$C$150,3,0)),"",VLOOKUP($E30,DD!$A$2:$C$150,3,0)))</f>
        <v>0.6</v>
      </c>
      <c r="H30" s="59">
        <v>6</v>
      </c>
      <c r="I30" s="59">
        <v>5</v>
      </c>
      <c r="J30" s="59">
        <v>5</v>
      </c>
      <c r="K30" s="59">
        <v>6.5</v>
      </c>
      <c r="L30" s="59">
        <v>5</v>
      </c>
      <c r="M30" s="56"/>
      <c r="N30" s="57">
        <f t="shared" si="0"/>
        <v>9.6</v>
      </c>
      <c r="O30" s="57">
        <f>IF(N30="","",N30+O29)</f>
        <v>20.7</v>
      </c>
    </row>
    <row r="31" spans="1:20" x14ac:dyDescent="0.25">
      <c r="A31" s="100"/>
      <c r="B31" s="101"/>
      <c r="C31" s="102"/>
      <c r="D31" s="55">
        <v>3</v>
      </c>
      <c r="E31" s="56" t="s">
        <v>47</v>
      </c>
      <c r="F31" s="57" t="str">
        <f>IF($E31="","",IF(ISNA(VLOOKUP($E31,DD!$A$2:$C$150,2,0)),"NO SUCH DIVE",VLOOKUP($E31,DD!$A$2:$C$150,2,0)))</f>
        <v>Front fall-in</v>
      </c>
      <c r="G31" s="55">
        <f>IF($E31="","",IF(ISNA(VLOOKUP($E31,DD!$A$2:$C$150,3,0)),"",VLOOKUP($E31,DD!$A$2:$C$150,3,0)))</f>
        <v>1</v>
      </c>
      <c r="H31" s="59">
        <v>7</v>
      </c>
      <c r="I31" s="59">
        <v>6</v>
      </c>
      <c r="J31" s="59">
        <v>5.5</v>
      </c>
      <c r="K31" s="59">
        <v>6.5</v>
      </c>
      <c r="L31" s="59">
        <v>6.5</v>
      </c>
      <c r="M31" s="56"/>
      <c r="N31" s="57">
        <f t="shared" si="0"/>
        <v>19</v>
      </c>
      <c r="O31" s="60">
        <f>IF(N31="",0,N31+O30)</f>
        <v>39.700000000000003</v>
      </c>
    </row>
    <row r="32" spans="1:20" ht="15" customHeight="1" x14ac:dyDescent="0.25">
      <c r="A32" s="97">
        <v>11</v>
      </c>
      <c r="B32" s="98" t="s">
        <v>67</v>
      </c>
      <c r="C32" s="99" t="s">
        <v>49</v>
      </c>
      <c r="D32" s="46">
        <v>1</v>
      </c>
      <c r="E32" s="50" t="s">
        <v>45</v>
      </c>
      <c r="F32" s="45" t="str">
        <f>IF($E32="","",IF(ISNA(VLOOKUP($E32,DD!$A$2:$C$150,2,0)),"NO SUCH DIVE",VLOOKUP($E32,DD!$A$2:$C$150,2,0)))</f>
        <v>Front jump tuck</v>
      </c>
      <c r="G32" s="51">
        <f>IF($E32="","",IF(ISNA(VLOOKUP($E32,DD!$A$2:$C$150,3,0)),"",VLOOKUP($E32,DD!$A$2:$C$150,3,0)))</f>
        <v>0.6</v>
      </c>
      <c r="H32" s="52">
        <v>5</v>
      </c>
      <c r="I32" s="52">
        <v>5.5</v>
      </c>
      <c r="J32" s="52">
        <v>5.5</v>
      </c>
      <c r="K32" s="52">
        <v>5.5</v>
      </c>
      <c r="L32" s="52">
        <v>5.5</v>
      </c>
      <c r="M32" s="50"/>
      <c r="N32" s="45">
        <f t="shared" si="0"/>
        <v>9.9</v>
      </c>
      <c r="O32" s="45">
        <f>IF(N32="","",N32)</f>
        <v>9.9</v>
      </c>
    </row>
    <row r="33" spans="1:15" x14ac:dyDescent="0.25">
      <c r="A33" s="97"/>
      <c r="B33" s="98"/>
      <c r="C33" s="99"/>
      <c r="D33" s="46">
        <v>2</v>
      </c>
      <c r="E33" s="50" t="s">
        <v>50</v>
      </c>
      <c r="F33" s="45" t="str">
        <f>IF($E33="","",IF(ISNA(VLOOKUP($E33,DD!$A$2:$C$150,2,0)),"NO SUCH DIVE",VLOOKUP($E33,DD!$A$2:$C$150,2,0)))</f>
        <v>Back jump layout</v>
      </c>
      <c r="G33" s="51">
        <f>IF($E33="","",IF(ISNA(VLOOKUP($E33,DD!$A$2:$C$150,3,0)),"",VLOOKUP($E33,DD!$A$2:$C$150,3,0)))</f>
        <v>0.5</v>
      </c>
      <c r="H33" s="52">
        <v>5.5</v>
      </c>
      <c r="I33" s="52">
        <v>4.5</v>
      </c>
      <c r="J33" s="52">
        <v>5</v>
      </c>
      <c r="K33" s="52">
        <v>5</v>
      </c>
      <c r="L33" s="52">
        <v>5</v>
      </c>
      <c r="M33" s="50"/>
      <c r="N33" s="45">
        <f t="shared" si="0"/>
        <v>7.5</v>
      </c>
      <c r="O33" s="45">
        <f>IF(N33="","",N33+O32)</f>
        <v>17.399999999999999</v>
      </c>
    </row>
    <row r="34" spans="1:15" x14ac:dyDescent="0.25">
      <c r="A34" s="97"/>
      <c r="B34" s="98"/>
      <c r="C34" s="99"/>
      <c r="D34" s="46">
        <v>3</v>
      </c>
      <c r="E34" s="50" t="s">
        <v>47</v>
      </c>
      <c r="F34" s="45" t="str">
        <f>IF($E34="","",IF(ISNA(VLOOKUP($E34,DD!$A$2:$C$150,2,0)),"NO SUCH DIVE",VLOOKUP($E34,DD!$A$2:$C$150,2,0)))</f>
        <v>Front fall-in</v>
      </c>
      <c r="G34" s="46">
        <f>IF($E34="","",IF(ISNA(VLOOKUP($E34,DD!$A$2:$C$150,3,0)),"",VLOOKUP($E34,DD!$A$2:$C$150,3,0)))</f>
        <v>1</v>
      </c>
      <c r="H34" s="52">
        <v>5.5</v>
      </c>
      <c r="I34" s="52">
        <v>5.5</v>
      </c>
      <c r="J34" s="52">
        <v>5.5</v>
      </c>
      <c r="K34" s="52">
        <v>5.5</v>
      </c>
      <c r="L34" s="52">
        <v>5.5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16.5</v>
      </c>
      <c r="O34" s="54">
        <f>IF(N34="",0,N34+O33)</f>
        <v>33.9</v>
      </c>
    </row>
    <row r="35" spans="1:15" x14ac:dyDescent="0.25">
      <c r="A35" s="100">
        <v>12</v>
      </c>
      <c r="B35" s="101" t="s">
        <v>85</v>
      </c>
      <c r="C35" s="102" t="s">
        <v>57</v>
      </c>
      <c r="D35" s="55">
        <v>1</v>
      </c>
      <c r="E35" s="56" t="s">
        <v>86</v>
      </c>
      <c r="F35" s="57" t="str">
        <f>IF($E35="","",IF(ISNA(VLOOKUP($E35,DD!$A$2:$C$150,2,0)),"NO SUCH DIVE",VLOOKUP($E35,DD!$A$2:$C$150,2,0)))</f>
        <v>Front jump tuck</v>
      </c>
      <c r="G35" s="58">
        <f>IF($E35="","",IF(ISNA(VLOOKUP($E35,DD!$A$2:$C$150,3,0)),"",VLOOKUP($E35,DD!$A$2:$C$150,3,0)))</f>
        <v>0.6</v>
      </c>
      <c r="H35" s="59">
        <v>5.5</v>
      </c>
      <c r="I35" s="59">
        <v>6</v>
      </c>
      <c r="J35" s="59">
        <v>5.5</v>
      </c>
      <c r="K35" s="59">
        <v>5.5</v>
      </c>
      <c r="L35" s="59">
        <v>6</v>
      </c>
      <c r="M35" s="56"/>
      <c r="N35" s="57">
        <f t="shared" si="1"/>
        <v>10.199999999999999</v>
      </c>
      <c r="O35" s="57">
        <f>IF(N35="","",N35)</f>
        <v>10.199999999999999</v>
      </c>
    </row>
    <row r="36" spans="1:15" x14ac:dyDescent="0.25">
      <c r="A36" s="100"/>
      <c r="B36" s="101"/>
      <c r="C36" s="102"/>
      <c r="D36" s="55">
        <v>2</v>
      </c>
      <c r="E36" s="61" t="s">
        <v>50</v>
      </c>
      <c r="F36" s="57" t="str">
        <f>IF($E36="","",IF(ISNA(VLOOKUP($E36,DD!$A$2:$C$150,2,0)),"NO SUCH DIVE",VLOOKUP($E36,DD!$A$2:$C$150,2,0)))</f>
        <v>Back jump layout</v>
      </c>
      <c r="G36" s="58">
        <f>IF($E36="","",IF(ISNA(VLOOKUP($E36,DD!$A$2:$C$150,3,0)),"",VLOOKUP($E36,DD!$A$2:$C$150,3,0)))</f>
        <v>0.5</v>
      </c>
      <c r="H36" s="59">
        <v>6.5</v>
      </c>
      <c r="I36" s="59">
        <v>6.5</v>
      </c>
      <c r="J36" s="59">
        <v>5.5</v>
      </c>
      <c r="K36" s="59">
        <v>6</v>
      </c>
      <c r="L36" s="59">
        <v>6</v>
      </c>
      <c r="M36" s="56"/>
      <c r="N36" s="57">
        <f t="shared" si="1"/>
        <v>9.25</v>
      </c>
      <c r="O36" s="57">
        <f>IF(N36="","",N36+O35)</f>
        <v>19.45</v>
      </c>
    </row>
    <row r="37" spans="1:15" x14ac:dyDescent="0.25">
      <c r="A37" s="100"/>
      <c r="B37" s="101"/>
      <c r="C37" s="102"/>
      <c r="D37" s="55">
        <v>3</v>
      </c>
      <c r="E37" s="61" t="s">
        <v>47</v>
      </c>
      <c r="F37" s="57" t="str">
        <f>IF($E37="","",IF(ISNA(VLOOKUP($E37,DD!$A$2:$C$150,2,0)),"NO SUCH DIVE",VLOOKUP($E37,DD!$A$2:$C$150,2,0)))</f>
        <v>Front fall-in</v>
      </c>
      <c r="G37" s="55">
        <f>IF($E37="","",IF(ISNA(VLOOKUP($E37,DD!$A$2:$C$150,3,0)),"",VLOOKUP($E37,DD!$A$2:$C$150,3,0)))</f>
        <v>1</v>
      </c>
      <c r="H37" s="59">
        <v>5</v>
      </c>
      <c r="I37" s="59">
        <v>5</v>
      </c>
      <c r="J37" s="59">
        <v>5</v>
      </c>
      <c r="K37" s="59">
        <v>5</v>
      </c>
      <c r="L37" s="59">
        <v>5</v>
      </c>
      <c r="M37" s="56"/>
      <c r="N37" s="57">
        <f t="shared" si="1"/>
        <v>15</v>
      </c>
      <c r="O37" s="60">
        <f>IF(N37="",0,N37+O36)</f>
        <v>34.450000000000003</v>
      </c>
    </row>
    <row r="38" spans="1:15" ht="15" customHeight="1" x14ac:dyDescent="0.25">
      <c r="A38" s="97">
        <v>13</v>
      </c>
      <c r="B38" s="98" t="s">
        <v>68</v>
      </c>
      <c r="C38" s="99" t="s">
        <v>57</v>
      </c>
      <c r="D38" s="46">
        <v>1</v>
      </c>
      <c r="E38" s="50" t="s">
        <v>45</v>
      </c>
      <c r="F38" s="45" t="str">
        <f>IF($E38="","",IF(ISNA(VLOOKUP($E38,DD!$A$2:$C$150,2,0)),"NO SUCH DIVE",VLOOKUP($E38,DD!$A$2:$C$150,2,0)))</f>
        <v>Front jump tuck</v>
      </c>
      <c r="G38" s="51">
        <f>IF($E38="","",IF(ISNA(VLOOKUP($E38,DD!$A$2:$C$150,3,0)),"",VLOOKUP($E38,DD!$A$2:$C$150,3,0)))</f>
        <v>0.6</v>
      </c>
      <c r="H38" s="52">
        <v>5.5</v>
      </c>
      <c r="I38" s="52">
        <v>4.5</v>
      </c>
      <c r="J38" s="52">
        <v>6.5</v>
      </c>
      <c r="K38" s="52">
        <v>5</v>
      </c>
      <c r="L38" s="52">
        <v>5</v>
      </c>
      <c r="M38" s="50"/>
      <c r="N38" s="45">
        <f t="shared" si="1"/>
        <v>9.2999999999999989</v>
      </c>
      <c r="O38" s="45">
        <f>IF(N38="","",N38)</f>
        <v>9.2999999999999989</v>
      </c>
    </row>
    <row r="39" spans="1:15" x14ac:dyDescent="0.25">
      <c r="A39" s="97"/>
      <c r="B39" s="98"/>
      <c r="C39" s="99"/>
      <c r="D39" s="46">
        <v>2</v>
      </c>
      <c r="E39" s="50" t="s">
        <v>46</v>
      </c>
      <c r="F39" s="45" t="str">
        <f>IF($E39="","",IF(ISNA(VLOOKUP($E39,DD!$A$2:$C$150,2,0)),"NO SUCH DIVE",VLOOKUP($E39,DD!$A$2:$C$150,2,0)))</f>
        <v>Back fall in</v>
      </c>
      <c r="G39" s="51">
        <f>IF($E39="","",IF(ISNA(VLOOKUP($E39,DD!$A$2:$C$150,3,0)),"",VLOOKUP($E39,DD!$A$2:$C$150,3,0)))</f>
        <v>1</v>
      </c>
      <c r="H39" s="52">
        <v>5</v>
      </c>
      <c r="I39" s="52">
        <v>5</v>
      </c>
      <c r="J39" s="52">
        <v>5</v>
      </c>
      <c r="K39" s="52">
        <v>5</v>
      </c>
      <c r="L39" s="52">
        <v>5</v>
      </c>
      <c r="M39" s="50"/>
      <c r="N39" s="45">
        <f t="shared" si="1"/>
        <v>15</v>
      </c>
      <c r="O39" s="45">
        <f>IF(N39="","",N39+O38)</f>
        <v>24.299999999999997</v>
      </c>
    </row>
    <row r="40" spans="1:15" x14ac:dyDescent="0.25">
      <c r="A40" s="97"/>
      <c r="B40" s="98"/>
      <c r="C40" s="99"/>
      <c r="D40" s="46">
        <v>3</v>
      </c>
      <c r="E40" s="50" t="s">
        <v>47</v>
      </c>
      <c r="F40" s="45" t="str">
        <f>IF($E40="","",IF(ISNA(VLOOKUP($E40,DD!$A$2:$C$150,2,0)),"NO SUCH DIVE",VLOOKUP($E40,DD!$A$2:$C$150,2,0)))</f>
        <v>Front fall-in</v>
      </c>
      <c r="G40" s="46">
        <f>IF($E40="","",IF(ISNA(VLOOKUP($E40,DD!$A$2:$C$150,3,0)),"",VLOOKUP($E40,DD!$A$2:$C$150,3,0)))</f>
        <v>1</v>
      </c>
      <c r="H40" s="52">
        <v>7</v>
      </c>
      <c r="I40" s="52">
        <v>6.5</v>
      </c>
      <c r="J40" s="52">
        <v>6</v>
      </c>
      <c r="K40" s="52">
        <v>6.5</v>
      </c>
      <c r="L40" s="52">
        <v>7</v>
      </c>
      <c r="M40" s="50"/>
      <c r="N40" s="45">
        <f t="shared" si="1"/>
        <v>20</v>
      </c>
      <c r="O40" s="54">
        <f>IF(N40="",0,N40+O39)</f>
        <v>44.3</v>
      </c>
    </row>
    <row r="41" spans="1:15" x14ac:dyDescent="0.25">
      <c r="A41" s="100">
        <v>14</v>
      </c>
      <c r="B41" s="101" t="s">
        <v>82</v>
      </c>
      <c r="C41" s="102" t="s">
        <v>83</v>
      </c>
      <c r="D41" s="55">
        <v>1</v>
      </c>
      <c r="E41" s="56" t="s">
        <v>63</v>
      </c>
      <c r="F41" s="57" t="str">
        <f>IF($E41="","",IF(ISNA(VLOOKUP($E41,DD!$A$2:$C$150,2,0)),"NO SUCH DIVE",VLOOKUP($E41,DD!$A$2:$C$150,2,0)))</f>
        <v>Front jump layout</v>
      </c>
      <c r="G41" s="58">
        <f>IF($E41="","",IF(ISNA(VLOOKUP($E41,DD!$A$2:$C$150,3,0)),"",VLOOKUP($E41,DD!$A$2:$C$150,3,0)))</f>
        <v>0.5</v>
      </c>
      <c r="H41" s="59">
        <v>4.5</v>
      </c>
      <c r="I41" s="59">
        <v>4.5</v>
      </c>
      <c r="J41" s="59">
        <v>5</v>
      </c>
      <c r="K41" s="59">
        <v>5</v>
      </c>
      <c r="L41" s="59">
        <v>5.5</v>
      </c>
      <c r="M41" s="56"/>
      <c r="N41" s="57">
        <f t="shared" si="1"/>
        <v>7.25</v>
      </c>
      <c r="O41" s="57">
        <f>IF(N41="","",N41)</f>
        <v>7.25</v>
      </c>
    </row>
    <row r="42" spans="1:15" x14ac:dyDescent="0.25">
      <c r="A42" s="100"/>
      <c r="B42" s="101"/>
      <c r="C42" s="102"/>
      <c r="D42" s="55">
        <v>2</v>
      </c>
      <c r="E42" s="61" t="s">
        <v>50</v>
      </c>
      <c r="F42" s="57" t="str">
        <f>IF($E42="","",IF(ISNA(VLOOKUP($E42,DD!$A$2:$C$150,2,0)),"NO SUCH DIVE",VLOOKUP($E42,DD!$A$2:$C$150,2,0)))</f>
        <v>Back jump layout</v>
      </c>
      <c r="G42" s="58">
        <f>IF($E42="","",IF(ISNA(VLOOKUP($E42,DD!$A$2:$C$150,3,0)),"",VLOOKUP($E42,DD!$A$2:$C$150,3,0)))</f>
        <v>0.5</v>
      </c>
      <c r="H42" s="59">
        <v>4.5</v>
      </c>
      <c r="I42" s="59">
        <v>4.5</v>
      </c>
      <c r="J42" s="59">
        <v>4.5</v>
      </c>
      <c r="K42" s="59">
        <v>4.5</v>
      </c>
      <c r="L42" s="59">
        <v>4.5</v>
      </c>
      <c r="M42" s="56"/>
      <c r="N42" s="57">
        <f t="shared" si="1"/>
        <v>6.75</v>
      </c>
      <c r="O42" s="57">
        <f>IF(N42="","",N42+O41)</f>
        <v>14</v>
      </c>
    </row>
    <row r="43" spans="1:15" x14ac:dyDescent="0.25">
      <c r="A43" s="100"/>
      <c r="B43" s="101"/>
      <c r="C43" s="102"/>
      <c r="D43" s="55">
        <v>3</v>
      </c>
      <c r="E43" s="61" t="s">
        <v>47</v>
      </c>
      <c r="F43" s="57" t="str">
        <f>IF($E43="","",IF(ISNA(VLOOKUP($E43,DD!$A$2:$C$150,2,0)),"NO SUCH DIVE",VLOOKUP($E43,DD!$A$2:$C$150,2,0)))</f>
        <v>Front fall-in</v>
      </c>
      <c r="G43" s="55">
        <f>IF($E43="","",IF(ISNA(VLOOKUP($E43,DD!$A$2:$C$150,3,0)),"",VLOOKUP($E43,DD!$A$2:$C$150,3,0)))</f>
        <v>1</v>
      </c>
      <c r="H43" s="59">
        <v>4.5</v>
      </c>
      <c r="I43" s="59">
        <v>5</v>
      </c>
      <c r="J43" s="59">
        <v>5.5</v>
      </c>
      <c r="K43" s="59">
        <v>5.5</v>
      </c>
      <c r="L43" s="59">
        <v>5.5</v>
      </c>
      <c r="M43" s="56"/>
      <c r="N43" s="57">
        <f t="shared" si="1"/>
        <v>16</v>
      </c>
      <c r="O43" s="60">
        <f>IF(N43="",0,N43+O42)</f>
        <v>30</v>
      </c>
    </row>
    <row r="44" spans="1:15" x14ac:dyDescent="0.25">
      <c r="A44" s="97">
        <v>15</v>
      </c>
      <c r="B44" s="98" t="s">
        <v>84</v>
      </c>
      <c r="C44" s="99" t="s">
        <v>52</v>
      </c>
      <c r="D44" s="46">
        <v>1</v>
      </c>
      <c r="E44" s="50" t="s">
        <v>45</v>
      </c>
      <c r="F44" s="45" t="str">
        <f>IF($E44="","",IF(ISNA(VLOOKUP($E44,DD!$A$2:$C$150,2,0)),"NO SUCH DIVE",VLOOKUP($E44,DD!$A$2:$C$150,2,0)))</f>
        <v>Front jump tuck</v>
      </c>
      <c r="G44" s="51">
        <f>IF($E44="","",IF(ISNA(VLOOKUP($E44,DD!$A$2:$C$150,3,0)),"",VLOOKUP($E44,DD!$A$2:$C$150,3,0)))</f>
        <v>0.6</v>
      </c>
      <c r="H44" s="52">
        <v>5.5</v>
      </c>
      <c r="I44" s="52">
        <v>9.5</v>
      </c>
      <c r="J44" s="52">
        <v>5.5</v>
      </c>
      <c r="K44" s="52">
        <v>6.5</v>
      </c>
      <c r="L44" s="52">
        <v>7.5</v>
      </c>
      <c r="M44" s="50"/>
      <c r="N44" s="45">
        <f t="shared" si="1"/>
        <v>11.7</v>
      </c>
      <c r="O44" s="45">
        <f>IF(N44="","",N44)</f>
        <v>11.7</v>
      </c>
    </row>
    <row r="45" spans="1:15" x14ac:dyDescent="0.25">
      <c r="A45" s="97"/>
      <c r="B45" s="98"/>
      <c r="C45" s="99"/>
      <c r="D45" s="46">
        <v>2</v>
      </c>
      <c r="E45" s="62" t="s">
        <v>50</v>
      </c>
      <c r="F45" s="45" t="str">
        <f>IF($E45="","",IF(ISNA(VLOOKUP($E45,DD!$A$2:$C$150,2,0)),"NO SUCH DIVE",VLOOKUP($E45,DD!$A$2:$C$150,2,0)))</f>
        <v>Back jump layout</v>
      </c>
      <c r="G45" s="51">
        <f>IF($E45="","",IF(ISNA(VLOOKUP($E45,DD!$A$2:$C$150,3,0)),"",VLOOKUP($E45,DD!$A$2:$C$150,3,0)))</f>
        <v>0.5</v>
      </c>
      <c r="H45" s="52">
        <v>6.5</v>
      </c>
      <c r="I45" s="52">
        <v>7</v>
      </c>
      <c r="J45" s="52">
        <v>5</v>
      </c>
      <c r="K45" s="52">
        <v>6.5</v>
      </c>
      <c r="L45" s="52">
        <v>6.5</v>
      </c>
      <c r="M45" s="50"/>
      <c r="N45" s="45">
        <f t="shared" si="1"/>
        <v>9.75</v>
      </c>
      <c r="O45" s="45">
        <f>IF(N45="","",N45+O44)</f>
        <v>21.45</v>
      </c>
    </row>
    <row r="46" spans="1:15" x14ac:dyDescent="0.25">
      <c r="A46" s="97"/>
      <c r="B46" s="98"/>
      <c r="C46" s="99"/>
      <c r="D46" s="46">
        <v>3</v>
      </c>
      <c r="E46" s="62" t="s">
        <v>54</v>
      </c>
      <c r="F46" s="45" t="str">
        <f>IF($E46="","",IF(ISNA(VLOOKUP($E46,DD!$A$2:$C$150,2,0)),"NO SUCH DIVE",VLOOKUP($E46,DD!$A$2:$C$150,2,0)))</f>
        <v>Front dive layout</v>
      </c>
      <c r="G46" s="46">
        <f>IF($E46="","",IF(ISNA(VLOOKUP($E46,DD!$A$2:$C$150,3,0)),"",VLOOKUP($E46,DD!$A$2:$C$150,3,0)))</f>
        <v>1.3</v>
      </c>
      <c r="H46" s="52">
        <v>5</v>
      </c>
      <c r="I46" s="52">
        <v>5</v>
      </c>
      <c r="J46" s="52">
        <v>5.5</v>
      </c>
      <c r="K46" s="52">
        <v>6.5</v>
      </c>
      <c r="L46" s="52">
        <v>5</v>
      </c>
      <c r="M46" s="50"/>
      <c r="N46" s="45">
        <f t="shared" si="1"/>
        <v>20.150000000000002</v>
      </c>
      <c r="O46" s="54">
        <f>IF(N46="",0,N46+O45)</f>
        <v>41.6</v>
      </c>
    </row>
    <row r="47" spans="1:15" ht="15" customHeight="1" x14ac:dyDescent="0.25">
      <c r="A47" s="100">
        <v>16</v>
      </c>
      <c r="B47" s="101" t="s">
        <v>69</v>
      </c>
      <c r="C47" s="102" t="s">
        <v>52</v>
      </c>
      <c r="D47" s="55">
        <v>1</v>
      </c>
      <c r="E47" s="56" t="s">
        <v>45</v>
      </c>
      <c r="F47" s="57" t="str">
        <f>IF($E47="","",IF(ISNA(VLOOKUP($E47,DD!$A$2:$C$150,2,0)),"NO SUCH DIVE",VLOOKUP($E47,DD!$A$2:$C$150,2,0)))</f>
        <v>Front jump tuck</v>
      </c>
      <c r="G47" s="58">
        <f>IF($E47="","",IF(ISNA(VLOOKUP($E47,DD!$A$2:$C$150,3,0)),"",VLOOKUP($E47,DD!$A$2:$C$150,3,0)))</f>
        <v>0.6</v>
      </c>
      <c r="H47" s="59">
        <v>6</v>
      </c>
      <c r="I47" s="59">
        <v>6.5</v>
      </c>
      <c r="J47" s="59">
        <v>6</v>
      </c>
      <c r="K47" s="59">
        <v>7.5</v>
      </c>
      <c r="L47" s="59">
        <v>6</v>
      </c>
      <c r="M47" s="56"/>
      <c r="N47" s="57">
        <f t="shared" si="1"/>
        <v>11.1</v>
      </c>
      <c r="O47" s="57">
        <f>IF(N47="","",N47)</f>
        <v>11.1</v>
      </c>
    </row>
    <row r="48" spans="1:15" x14ac:dyDescent="0.25">
      <c r="A48" s="100"/>
      <c r="B48" s="101"/>
      <c r="C48" s="102"/>
      <c r="D48" s="55">
        <v>2</v>
      </c>
      <c r="E48" s="56" t="s">
        <v>50</v>
      </c>
      <c r="F48" s="57" t="str">
        <f>IF($E48="","",IF(ISNA(VLOOKUP($E48,DD!$A$2:$C$150,2,0)),"NO SUCH DIVE",VLOOKUP($E48,DD!$A$2:$C$150,2,0)))</f>
        <v>Back jump layout</v>
      </c>
      <c r="G48" s="58">
        <f>IF($E48="","",IF(ISNA(VLOOKUP($E48,DD!$A$2:$C$150,3,0)),"",VLOOKUP($E48,DD!$A$2:$C$150,3,0)))</f>
        <v>0.5</v>
      </c>
      <c r="H48" s="59">
        <v>7</v>
      </c>
      <c r="I48" s="59">
        <v>7.5</v>
      </c>
      <c r="J48" s="59">
        <v>6</v>
      </c>
      <c r="K48" s="59">
        <v>8</v>
      </c>
      <c r="L48" s="59">
        <v>7.5</v>
      </c>
      <c r="M48" s="56"/>
      <c r="N48" s="57">
        <f t="shared" si="1"/>
        <v>11</v>
      </c>
      <c r="O48" s="57">
        <f>IF(N48="","",N48+O47)</f>
        <v>22.1</v>
      </c>
    </row>
    <row r="49" spans="1:15" x14ac:dyDescent="0.25">
      <c r="A49" s="100"/>
      <c r="B49" s="101"/>
      <c r="C49" s="102"/>
      <c r="D49" s="55">
        <v>3</v>
      </c>
      <c r="E49" s="56" t="s">
        <v>47</v>
      </c>
      <c r="F49" s="57" t="str">
        <f>IF($E49="","",IF(ISNA(VLOOKUP($E49,DD!$A$2:$C$150,2,0)),"NO SUCH DIVE",VLOOKUP($E49,DD!$A$2:$C$150,2,0)))</f>
        <v>Front fall-in</v>
      </c>
      <c r="G49" s="55">
        <f>IF($E49="","",IF(ISNA(VLOOKUP($E49,DD!$A$2:$C$150,3,0)),"",VLOOKUP($E49,DD!$A$2:$C$150,3,0)))</f>
        <v>1</v>
      </c>
      <c r="H49" s="59">
        <v>6</v>
      </c>
      <c r="I49" s="59">
        <v>6.5</v>
      </c>
      <c r="J49" s="59">
        <v>5.5</v>
      </c>
      <c r="K49" s="59">
        <v>7</v>
      </c>
      <c r="L49" s="59">
        <v>6</v>
      </c>
      <c r="M49" s="56"/>
      <c r="N49" s="57">
        <f t="shared" si="1"/>
        <v>18.5</v>
      </c>
      <c r="O49" s="60">
        <f>IF(N49="",0,N49+O48)</f>
        <v>40.6</v>
      </c>
    </row>
    <row r="50" spans="1:15" ht="15" customHeight="1" x14ac:dyDescent="0.25">
      <c r="A50" s="97">
        <v>17</v>
      </c>
      <c r="B50" s="98" t="s">
        <v>70</v>
      </c>
      <c r="C50" s="99" t="s">
        <v>57</v>
      </c>
      <c r="D50" s="46">
        <v>1</v>
      </c>
      <c r="E50" s="50" t="s">
        <v>45</v>
      </c>
      <c r="F50" s="45" t="str">
        <f>IF($E50="","",IF(ISNA(VLOOKUP($E50,DD!$A$2:$C$150,2,0)),"NO SUCH DIVE",VLOOKUP($E50,DD!$A$2:$C$150,2,0)))</f>
        <v>Front jump tuck</v>
      </c>
      <c r="G50" s="51">
        <f>IF($E50="","",IF(ISNA(VLOOKUP($E50,DD!$A$2:$C$150,3,0)),"",VLOOKUP($E50,DD!$A$2:$C$150,3,0)))</f>
        <v>0.6</v>
      </c>
      <c r="H50" s="52">
        <v>6</v>
      </c>
      <c r="I50" s="52">
        <v>5</v>
      </c>
      <c r="J50" s="52">
        <v>5.5</v>
      </c>
      <c r="K50" s="52">
        <v>6</v>
      </c>
      <c r="L50" s="52">
        <v>6.5</v>
      </c>
      <c r="M50" s="50"/>
      <c r="N50" s="45">
        <f t="shared" si="1"/>
        <v>10.5</v>
      </c>
      <c r="O50" s="45">
        <f>IF(N50="","",N50)</f>
        <v>10.5</v>
      </c>
    </row>
    <row r="51" spans="1:15" x14ac:dyDescent="0.25">
      <c r="A51" s="97"/>
      <c r="B51" s="98"/>
      <c r="C51" s="99"/>
      <c r="D51" s="46">
        <v>2</v>
      </c>
      <c r="E51" s="50" t="s">
        <v>50</v>
      </c>
      <c r="F51" s="45" t="str">
        <f>IF($E51="","",IF(ISNA(VLOOKUP($E51,DD!$A$2:$C$150,2,0)),"NO SUCH DIVE",VLOOKUP($E51,DD!$A$2:$C$150,2,0)))</f>
        <v>Back jump layout</v>
      </c>
      <c r="G51" s="51">
        <f>IF($E51="","",IF(ISNA(VLOOKUP($E51,DD!$A$2:$C$150,3,0)),"",VLOOKUP($E51,DD!$A$2:$C$150,3,0)))</f>
        <v>0.5</v>
      </c>
      <c r="H51" s="52">
        <v>5</v>
      </c>
      <c r="I51" s="52">
        <v>6</v>
      </c>
      <c r="J51" s="52">
        <v>5.5</v>
      </c>
      <c r="K51" s="52">
        <v>5.5</v>
      </c>
      <c r="L51" s="52">
        <v>5</v>
      </c>
      <c r="M51" s="50"/>
      <c r="N51" s="45">
        <f t="shared" si="1"/>
        <v>8</v>
      </c>
      <c r="O51" s="45">
        <f>IF(N51="","",N51+O50)</f>
        <v>18.5</v>
      </c>
    </row>
    <row r="52" spans="1:15" x14ac:dyDescent="0.25">
      <c r="A52" s="97"/>
      <c r="B52" s="98"/>
      <c r="C52" s="99"/>
      <c r="D52" s="46">
        <v>3</v>
      </c>
      <c r="E52" s="50" t="s">
        <v>47</v>
      </c>
      <c r="F52" s="45" t="str">
        <f>IF($E52="","",IF(ISNA(VLOOKUP($E52,DD!$A$2:$C$150,2,0)),"NO SUCH DIVE",VLOOKUP($E52,DD!$A$2:$C$150,2,0)))</f>
        <v>Front fall-in</v>
      </c>
      <c r="G52" s="46">
        <f>IF($E52="","",IF(ISNA(VLOOKUP($E52,DD!$A$2:$C$150,3,0)),"",VLOOKUP($E52,DD!$A$2:$C$150,3,0)))</f>
        <v>1</v>
      </c>
      <c r="H52" s="52">
        <v>6.5</v>
      </c>
      <c r="I52" s="52">
        <v>5.5</v>
      </c>
      <c r="J52" s="52">
        <v>5.5</v>
      </c>
      <c r="K52" s="52">
        <v>6.5</v>
      </c>
      <c r="L52" s="52">
        <v>6</v>
      </c>
      <c r="M52" s="50"/>
      <c r="N52" s="45">
        <f t="shared" si="1"/>
        <v>18</v>
      </c>
      <c r="O52" s="54">
        <f>IF(N52="",0,N52+O51)</f>
        <v>36.5</v>
      </c>
    </row>
    <row r="53" spans="1:15" x14ac:dyDescent="0.25">
      <c r="A53" s="100">
        <v>18</v>
      </c>
      <c r="B53" s="101"/>
      <c r="C53" s="102"/>
      <c r="D53" s="55">
        <v>1</v>
      </c>
      <c r="E53" s="56"/>
      <c r="F53" s="57" t="str">
        <f>IF($E53="","",IF(ISNA(VLOOKUP($E53,DD!$A$2:$C$150,2,0)),"NO SUCH DIVE",VLOOKUP($E53,DD!$A$2:$C$150,2,0)))</f>
        <v/>
      </c>
      <c r="G53" s="58" t="str">
        <f>IF($E53="","",IF(ISNA(VLOOKUP($E53,DD!$A$2:$C$150,3,0)),"",VLOOKUP($E53,DD!$A$2:$C$150,3,0)))</f>
        <v/>
      </c>
      <c r="H53" s="59"/>
      <c r="I53" s="59"/>
      <c r="J53" s="59"/>
      <c r="K53" s="59"/>
      <c r="L53" s="59"/>
      <c r="M53" s="56"/>
      <c r="N53" s="57" t="str">
        <f t="shared" si="1"/>
        <v/>
      </c>
      <c r="O53" s="57" t="str">
        <f>IF(N53="","",N53)</f>
        <v/>
      </c>
    </row>
    <row r="54" spans="1:15" x14ac:dyDescent="0.25">
      <c r="A54" s="100"/>
      <c r="B54" s="101"/>
      <c r="C54" s="102"/>
      <c r="D54" s="55">
        <v>2</v>
      </c>
      <c r="E54" s="61"/>
      <c r="F54" s="57" t="str">
        <f>IF($E54="","",IF(ISNA(VLOOKUP($E54,DD!$A$2:$C$150,2,0)),"NO SUCH DIVE",VLOOKUP($E54,DD!$A$2:$C$150,2,0)))</f>
        <v/>
      </c>
      <c r="G54" s="58" t="str">
        <f>IF($E54="","",IF(ISNA(VLOOKUP($E54,DD!$A$2:$C$150,3,0)),"",VLOOKUP($E54,DD!$A$2:$C$150,3,0)))</f>
        <v/>
      </c>
      <c r="H54" s="59"/>
      <c r="I54" s="59"/>
      <c r="J54" s="59"/>
      <c r="K54" s="59"/>
      <c r="L54" s="59"/>
      <c r="M54" s="56"/>
      <c r="N54" s="57" t="str">
        <f t="shared" si="1"/>
        <v/>
      </c>
      <c r="O54" s="57" t="str">
        <f>IF(N54="","",N54+O53)</f>
        <v/>
      </c>
    </row>
    <row r="55" spans="1:15" x14ac:dyDescent="0.25">
      <c r="A55" s="100"/>
      <c r="B55" s="101"/>
      <c r="C55" s="102"/>
      <c r="D55" s="55">
        <v>3</v>
      </c>
      <c r="E55" s="61"/>
      <c r="F55" s="57" t="str">
        <f>IF($E55="","",IF(ISNA(VLOOKUP($E55,DD!$A$2:$C$150,2,0)),"NO SUCH DIVE",VLOOKUP($E55,DD!$A$2:$C$150,2,0)))</f>
        <v/>
      </c>
      <c r="G55" s="55" t="str">
        <f>IF($E55="","",IF(ISNA(VLOOKUP($E55,DD!$A$2:$C$150,3,0)),"",VLOOKUP($E55,DD!$A$2:$C$150,3,0)))</f>
        <v/>
      </c>
      <c r="H55" s="59"/>
      <c r="I55" s="59"/>
      <c r="J55" s="59"/>
      <c r="K55" s="59"/>
      <c r="L55" s="59"/>
      <c r="M55" s="56"/>
      <c r="N55" s="57" t="str">
        <f t="shared" si="1"/>
        <v/>
      </c>
      <c r="O55" s="60">
        <f>IF(N55="",0,N55+O54)</f>
        <v>0</v>
      </c>
    </row>
    <row r="56" spans="1:15" ht="15" customHeight="1" x14ac:dyDescent="0.25">
      <c r="A56" s="97">
        <v>19</v>
      </c>
      <c r="B56" s="98" t="s">
        <v>71</v>
      </c>
      <c r="C56" s="99" t="s">
        <v>49</v>
      </c>
      <c r="D56" s="46">
        <v>1</v>
      </c>
      <c r="E56" s="50" t="s">
        <v>50</v>
      </c>
      <c r="F56" s="45" t="str">
        <f>IF($E56="","",IF(ISNA(VLOOKUP($E56,DD!$A$2:$C$150,2,0)),"NO SUCH DIVE",VLOOKUP($E56,DD!$A$2:$C$150,2,0)))</f>
        <v>Back jump layout</v>
      </c>
      <c r="G56" s="51">
        <f>IF($E56="","",IF(ISNA(VLOOKUP($E56,DD!$A$2:$C$150,3,0)),"",VLOOKUP($E56,DD!$A$2:$C$150,3,0)))</f>
        <v>0.5</v>
      </c>
      <c r="H56" s="52">
        <v>5</v>
      </c>
      <c r="I56" s="52">
        <v>6.5</v>
      </c>
      <c r="J56" s="52">
        <v>5.5</v>
      </c>
      <c r="K56" s="52">
        <v>5.5</v>
      </c>
      <c r="L56" s="52">
        <v>6.5</v>
      </c>
      <c r="M56" s="50"/>
      <c r="N56" s="45">
        <f t="shared" si="1"/>
        <v>8.75</v>
      </c>
      <c r="O56" s="45">
        <f>IF(N56="","",N56)</f>
        <v>8.75</v>
      </c>
    </row>
    <row r="57" spans="1:15" x14ac:dyDescent="0.25">
      <c r="A57" s="97"/>
      <c r="B57" s="98"/>
      <c r="C57" s="99"/>
      <c r="D57" s="46">
        <v>2</v>
      </c>
      <c r="E57" s="50" t="s">
        <v>72</v>
      </c>
      <c r="F57" s="45" t="str">
        <f>IF($E57="","",IF(ISNA(VLOOKUP($E57,DD!$A$2:$C$150,2,0)),"NO SUCH DIVE",VLOOKUP($E57,DD!$A$2:$C$150,2,0)))</f>
        <v>Front somersault tuck</v>
      </c>
      <c r="G57" s="51">
        <f>IF($E57="","",IF(ISNA(VLOOKUP($E57,DD!$A$2:$C$150,3,0)),"",VLOOKUP($E57,DD!$A$2:$C$150,3,0)))</f>
        <v>1.4</v>
      </c>
      <c r="H57" s="52">
        <v>3</v>
      </c>
      <c r="I57" s="52">
        <v>3.5</v>
      </c>
      <c r="J57" s="52">
        <v>5</v>
      </c>
      <c r="K57" s="52">
        <v>3.5</v>
      </c>
      <c r="L57" s="52">
        <v>3</v>
      </c>
      <c r="M57" s="50"/>
      <c r="N57" s="45">
        <f t="shared" si="1"/>
        <v>14</v>
      </c>
      <c r="O57" s="45">
        <f>IF(N57="","",N57+O56)</f>
        <v>22.75</v>
      </c>
    </row>
    <row r="58" spans="1:15" x14ac:dyDescent="0.25">
      <c r="A58" s="97"/>
      <c r="B58" s="98"/>
      <c r="C58" s="99"/>
      <c r="D58" s="46">
        <v>3</v>
      </c>
      <c r="E58" s="50" t="s">
        <v>54</v>
      </c>
      <c r="F58" s="45" t="str">
        <f>IF($E58="","",IF(ISNA(VLOOKUP($E58,DD!$A$2:$C$150,2,0)),"NO SUCH DIVE",VLOOKUP($E58,DD!$A$2:$C$150,2,0)))</f>
        <v>Front dive layout</v>
      </c>
      <c r="G58" s="46">
        <f>IF($E58="","",IF(ISNA(VLOOKUP($E58,DD!$A$2:$C$150,3,0)),"",VLOOKUP($E58,DD!$A$2:$C$150,3,0)))</f>
        <v>1.3</v>
      </c>
      <c r="H58" s="52">
        <v>5</v>
      </c>
      <c r="I58" s="52">
        <v>5</v>
      </c>
      <c r="J58" s="52">
        <v>5.5</v>
      </c>
      <c r="K58" s="52">
        <v>5.5</v>
      </c>
      <c r="L58" s="52">
        <v>5</v>
      </c>
      <c r="M58" s="50"/>
      <c r="N58" s="45">
        <f t="shared" si="1"/>
        <v>20.150000000000002</v>
      </c>
      <c r="O58" s="54">
        <f>IF(N58="",0,N58+O57)</f>
        <v>42.900000000000006</v>
      </c>
    </row>
    <row r="59" spans="1:15" ht="15" customHeight="1" x14ac:dyDescent="0.25">
      <c r="A59" s="100">
        <v>20</v>
      </c>
      <c r="B59" s="101" t="s">
        <v>73</v>
      </c>
      <c r="C59" s="102" t="s">
        <v>57</v>
      </c>
      <c r="D59" s="55">
        <v>1</v>
      </c>
      <c r="E59" s="56" t="s">
        <v>45</v>
      </c>
      <c r="F59" s="57" t="str">
        <f>IF($E59="","",IF(ISNA(VLOOKUP($E59,DD!$A$2:$C$150,2,0)),"NO SUCH DIVE",VLOOKUP($E59,DD!$A$2:$C$150,2,0)))</f>
        <v>Front jump tuck</v>
      </c>
      <c r="G59" s="58">
        <f>IF($E59="","",IF(ISNA(VLOOKUP($E59,DD!$A$2:$C$150,3,0)),"",VLOOKUP($E59,DD!$A$2:$C$150,3,0)))</f>
        <v>0.6</v>
      </c>
      <c r="H59" s="59">
        <v>6.5</v>
      </c>
      <c r="I59" s="59">
        <v>6.5</v>
      </c>
      <c r="J59" s="59">
        <v>5.5</v>
      </c>
      <c r="K59" s="59">
        <v>6</v>
      </c>
      <c r="L59" s="59">
        <v>6</v>
      </c>
      <c r="M59" s="56"/>
      <c r="N59" s="57">
        <f t="shared" si="1"/>
        <v>11.1</v>
      </c>
      <c r="O59" s="57">
        <f>IF(N59="","",N59)</f>
        <v>11.1</v>
      </c>
    </row>
    <row r="60" spans="1:15" x14ac:dyDescent="0.25">
      <c r="A60" s="100"/>
      <c r="B60" s="101"/>
      <c r="C60" s="102"/>
      <c r="D60" s="55">
        <v>2</v>
      </c>
      <c r="E60" s="56" t="s">
        <v>61</v>
      </c>
      <c r="F60" s="57" t="str">
        <f>IF($E60="","",IF(ISNA(VLOOKUP($E60,DD!$A$2:$C$150,2,0)),"NO SUCH DIVE",VLOOKUP($E60,DD!$A$2:$C$150,2,0)))</f>
        <v>Back jump tuck</v>
      </c>
      <c r="G60" s="58">
        <f>IF($E60="","",IF(ISNA(VLOOKUP($E60,DD!$A$2:$C$150,3,0)),"",VLOOKUP($E60,DD!$A$2:$C$150,3,0)))</f>
        <v>0.6</v>
      </c>
      <c r="H60" s="59">
        <v>6.5</v>
      </c>
      <c r="I60" s="59">
        <v>6.5</v>
      </c>
      <c r="J60" s="59">
        <v>5.5</v>
      </c>
      <c r="K60" s="59">
        <v>6.5</v>
      </c>
      <c r="L60" s="59">
        <v>6</v>
      </c>
      <c r="M60" s="56"/>
      <c r="N60" s="57">
        <f t="shared" si="1"/>
        <v>11.4</v>
      </c>
      <c r="O60" s="57">
        <f>IF(N60="","",N60+O59)</f>
        <v>22.5</v>
      </c>
    </row>
    <row r="61" spans="1:15" x14ac:dyDescent="0.25">
      <c r="A61" s="100"/>
      <c r="B61" s="101"/>
      <c r="C61" s="102"/>
      <c r="D61" s="55">
        <v>3</v>
      </c>
      <c r="E61" s="56" t="s">
        <v>47</v>
      </c>
      <c r="F61" s="57" t="str">
        <f>IF($E61="","",IF(ISNA(VLOOKUP($E61,DD!$A$2:$C$150,2,0)),"NO SUCH DIVE",VLOOKUP($E61,DD!$A$2:$C$150,2,0)))</f>
        <v>Front fall-in</v>
      </c>
      <c r="G61" s="55">
        <f>IF($E61="","",IF(ISNA(VLOOKUP($E61,DD!$A$2:$C$150,3,0)),"",VLOOKUP($E61,DD!$A$2:$C$150,3,0)))</f>
        <v>1</v>
      </c>
      <c r="H61" s="59">
        <v>5</v>
      </c>
      <c r="I61" s="59">
        <v>5</v>
      </c>
      <c r="J61" s="59">
        <v>5.5</v>
      </c>
      <c r="K61" s="59">
        <v>5</v>
      </c>
      <c r="L61" s="59">
        <v>5</v>
      </c>
      <c r="M61" s="56"/>
      <c r="N61" s="57">
        <f t="shared" si="1"/>
        <v>15</v>
      </c>
      <c r="O61" s="60">
        <f>IF(N61="",0,N61+O60)</f>
        <v>37.5</v>
      </c>
    </row>
    <row r="62" spans="1:15" ht="15" customHeight="1" x14ac:dyDescent="0.25">
      <c r="A62" s="97">
        <v>21</v>
      </c>
      <c r="B62" s="98" t="s">
        <v>74</v>
      </c>
      <c r="C62" s="99" t="s">
        <v>57</v>
      </c>
      <c r="D62" s="46">
        <v>1</v>
      </c>
      <c r="E62" s="50" t="s">
        <v>45</v>
      </c>
      <c r="F62" s="45" t="str">
        <f>IF($E62="","",IF(ISNA(VLOOKUP($E62,DD!$A$2:$C$150,2,0)),"NO SUCH DIVE",VLOOKUP($E62,DD!$A$2:$C$150,2,0)))</f>
        <v>Front jump tuck</v>
      </c>
      <c r="G62" s="51">
        <f>IF($E62="","",IF(ISNA(VLOOKUP($E62,DD!$A$2:$C$150,3,0)),"",VLOOKUP($E62,DD!$A$2:$C$150,3,0)))</f>
        <v>0.6</v>
      </c>
      <c r="H62" s="52">
        <v>5</v>
      </c>
      <c r="I62" s="52">
        <v>4.5</v>
      </c>
      <c r="J62" s="52">
        <v>5</v>
      </c>
      <c r="K62" s="52">
        <v>5</v>
      </c>
      <c r="L62" s="52">
        <v>5.5</v>
      </c>
      <c r="M62" s="50"/>
      <c r="N62" s="45">
        <f t="shared" si="1"/>
        <v>9</v>
      </c>
      <c r="O62" s="45">
        <f>IF(N62="","",N62)</f>
        <v>9</v>
      </c>
    </row>
    <row r="63" spans="1:15" x14ac:dyDescent="0.25">
      <c r="A63" s="97"/>
      <c r="B63" s="98"/>
      <c r="C63" s="99"/>
      <c r="D63" s="46">
        <v>2</v>
      </c>
      <c r="E63" s="50" t="s">
        <v>50</v>
      </c>
      <c r="F63" s="45" t="str">
        <f>IF($E63="","",IF(ISNA(VLOOKUP($E63,DD!$A$2:$C$150,2,0)),"NO SUCH DIVE",VLOOKUP($E63,DD!$A$2:$C$150,2,0)))</f>
        <v>Back jump layout</v>
      </c>
      <c r="G63" s="51">
        <f>IF($E63="","",IF(ISNA(VLOOKUP($E63,DD!$A$2:$C$150,3,0)),"",VLOOKUP($E63,DD!$A$2:$C$150,3,0)))</f>
        <v>0.5</v>
      </c>
      <c r="H63" s="52">
        <v>4.5</v>
      </c>
      <c r="I63" s="52">
        <v>4.5</v>
      </c>
      <c r="J63" s="52">
        <v>4.5</v>
      </c>
      <c r="K63" s="52">
        <v>5.5</v>
      </c>
      <c r="L63" s="52">
        <v>5</v>
      </c>
      <c r="M63" s="50"/>
      <c r="N63" s="45">
        <f t="shared" si="1"/>
        <v>7</v>
      </c>
      <c r="O63" s="45">
        <f>IF(N63="","",N63+O62)</f>
        <v>16</v>
      </c>
    </row>
    <row r="64" spans="1:15" x14ac:dyDescent="0.25">
      <c r="A64" s="97"/>
      <c r="B64" s="98"/>
      <c r="C64" s="99"/>
      <c r="D64" s="46">
        <v>3</v>
      </c>
      <c r="E64" s="50" t="s">
        <v>47</v>
      </c>
      <c r="F64" s="45" t="str">
        <f>IF($E64="","",IF(ISNA(VLOOKUP($E64,DD!$A$2:$C$150,2,0)),"NO SUCH DIVE",VLOOKUP($E64,DD!$A$2:$C$150,2,0)))</f>
        <v>Front fall-in</v>
      </c>
      <c r="G64" s="46">
        <f>IF($E64="","",IF(ISNA(VLOOKUP($E64,DD!$A$2:$C$150,3,0)),"",VLOOKUP($E64,DD!$A$2:$C$150,3,0)))</f>
        <v>1</v>
      </c>
      <c r="H64" s="52">
        <v>5</v>
      </c>
      <c r="I64" s="52">
        <v>5</v>
      </c>
      <c r="J64" s="52">
        <v>5</v>
      </c>
      <c r="K64" s="52">
        <v>5</v>
      </c>
      <c r="L64" s="52">
        <v>5</v>
      </c>
      <c r="M64" s="50"/>
      <c r="N64" s="45">
        <f t="shared" si="1"/>
        <v>15</v>
      </c>
      <c r="O64" s="54">
        <f>IF(N64="",0,N64+O63)</f>
        <v>31</v>
      </c>
    </row>
    <row r="65" spans="1:20" ht="15" customHeight="1" x14ac:dyDescent="0.25">
      <c r="A65" s="100">
        <v>22</v>
      </c>
      <c r="B65" s="101" t="s">
        <v>75</v>
      </c>
      <c r="C65" s="102" t="s">
        <v>76</v>
      </c>
      <c r="D65" s="55">
        <v>1</v>
      </c>
      <c r="E65" s="56" t="s">
        <v>54</v>
      </c>
      <c r="F65" s="57" t="str">
        <f>IF($E65="","",IF(ISNA(VLOOKUP($E65,DD!$A$2:$C$150,2,0)),"NO SUCH DIVE",VLOOKUP($E65,DD!$A$2:$C$150,2,0)))</f>
        <v>Front dive layout</v>
      </c>
      <c r="G65" s="58">
        <f>IF($E65="","",IF(ISNA(VLOOKUP($E65,DD!$A$2:$C$150,3,0)),"",VLOOKUP($E65,DD!$A$2:$C$150,3,0)))</f>
        <v>1.3</v>
      </c>
      <c r="H65" s="59">
        <v>5</v>
      </c>
      <c r="I65" s="59">
        <v>5.5</v>
      </c>
      <c r="J65" s="59">
        <v>5.5</v>
      </c>
      <c r="K65" s="59">
        <v>6</v>
      </c>
      <c r="L65" s="59">
        <v>5.5</v>
      </c>
      <c r="M65" s="56"/>
      <c r="N65" s="57">
        <f t="shared" si="1"/>
        <v>21.45</v>
      </c>
      <c r="O65" s="57">
        <f>IF(N65="","",N65)</f>
        <v>21.45</v>
      </c>
    </row>
    <row r="66" spans="1:20" x14ac:dyDescent="0.25">
      <c r="A66" s="100"/>
      <c r="B66" s="101"/>
      <c r="C66" s="102"/>
      <c r="D66" s="55">
        <v>2</v>
      </c>
      <c r="E66" s="56" t="s">
        <v>58</v>
      </c>
      <c r="F66" s="57" t="str">
        <f>IF($E66="","",IF(ISNA(VLOOKUP($E66,DD!$A$2:$C$150,2,0)),"NO SUCH DIVE",VLOOKUP($E66,DD!$A$2:$C$150,2,0)))</f>
        <v>Back dive layout</v>
      </c>
      <c r="G66" s="58">
        <f>IF($E66="","",IF(ISNA(VLOOKUP($E66,DD!$A$2:$C$150,3,0)),"",VLOOKUP($E66,DD!$A$2:$C$150,3,0)))</f>
        <v>1.4</v>
      </c>
      <c r="H66" s="59">
        <v>6</v>
      </c>
      <c r="I66" s="59">
        <v>6</v>
      </c>
      <c r="J66" s="59">
        <v>6</v>
      </c>
      <c r="K66" s="59">
        <v>5</v>
      </c>
      <c r="L66" s="59">
        <v>5.5</v>
      </c>
      <c r="M66" s="56"/>
      <c r="N66" s="57">
        <f t="shared" ref="N66:N73" si="2">IF(G66="","",IF(COUNT(H66:L66)=3,IF(M66&lt;&gt;"",(SUM(H66:J66)-6)*G66,SUM(H66:J66)*G66),IF(M66&lt;&gt;"",(SUM(H66:L66)-MAX(H66:L66)-MIN(H66:L66)-6)*G66,(SUM(H66:L66)-MAX(H66:L66)-MIN(H66:L66))*G66)))</f>
        <v>24.5</v>
      </c>
      <c r="O66" s="57">
        <f>IF(N66="","",N66+O65)</f>
        <v>45.95</v>
      </c>
    </row>
    <row r="67" spans="1:20" x14ac:dyDescent="0.25">
      <c r="A67" s="100"/>
      <c r="B67" s="101"/>
      <c r="C67" s="102"/>
      <c r="D67" s="55">
        <v>3</v>
      </c>
      <c r="E67" s="56" t="s">
        <v>72</v>
      </c>
      <c r="F67" s="57" t="str">
        <f>IF($E67="","",IF(ISNA(VLOOKUP($E67,DD!$A$2:$C$150,2,0)),"NO SUCH DIVE",VLOOKUP($E67,DD!$A$2:$C$150,2,0)))</f>
        <v>Front somersault tuck</v>
      </c>
      <c r="G67" s="55">
        <f>IF($E67="","",IF(ISNA(VLOOKUP($E67,DD!$A$2:$C$150,3,0)),"",VLOOKUP($E67,DD!$A$2:$C$150,3,0)))</f>
        <v>1.4</v>
      </c>
      <c r="H67" s="59">
        <v>5.5</v>
      </c>
      <c r="I67" s="59">
        <v>6</v>
      </c>
      <c r="J67" s="59">
        <v>6</v>
      </c>
      <c r="K67" s="59">
        <v>7</v>
      </c>
      <c r="L67" s="59">
        <v>6</v>
      </c>
      <c r="M67" s="56"/>
      <c r="N67" s="57">
        <f t="shared" si="2"/>
        <v>25.2</v>
      </c>
      <c r="O67" s="60">
        <f>IF(N67="",0,N67+O66)</f>
        <v>71.150000000000006</v>
      </c>
    </row>
    <row r="68" spans="1:20" x14ac:dyDescent="0.25">
      <c r="A68" s="97">
        <v>23</v>
      </c>
      <c r="B68" s="98"/>
      <c r="C68" s="99"/>
      <c r="D68" s="46">
        <v>1</v>
      </c>
      <c r="E68" s="50"/>
      <c r="F68" s="45" t="str">
        <f>IF($E68="","",IF(ISNA(VLOOKUP($E68,DD!$A$2:$C$150,2,0)),"NO SUCH DIVE",VLOOKUP($E68,DD!$A$2:$C$150,2,0)))</f>
        <v/>
      </c>
      <c r="G68" s="51" t="str">
        <f>IF($E68="","",IF(ISNA(VLOOKUP($E68,DD!$A$2:$C$150,3,0)),"",VLOOKUP($E68,DD!$A$2:$C$150,3,0)))</f>
        <v/>
      </c>
      <c r="H68" s="52"/>
      <c r="I68" s="52"/>
      <c r="J68" s="52"/>
      <c r="K68" s="52"/>
      <c r="L68" s="52"/>
      <c r="M68" s="50"/>
      <c r="N68" s="45" t="str">
        <f t="shared" si="2"/>
        <v/>
      </c>
      <c r="O68" s="45" t="str">
        <f>IF(N68="","",N68)</f>
        <v/>
      </c>
    </row>
    <row r="69" spans="1:20" x14ac:dyDescent="0.25">
      <c r="A69" s="97"/>
      <c r="B69" s="98"/>
      <c r="C69" s="99"/>
      <c r="D69" s="46">
        <v>2</v>
      </c>
      <c r="E69" s="62"/>
      <c r="F69" s="45" t="str">
        <f>IF($E69="","",IF(ISNA(VLOOKUP($E69,DD!$A$2:$C$150,2,0)),"NO SUCH DIVE",VLOOKUP($E69,DD!$A$2:$C$150,2,0)))</f>
        <v/>
      </c>
      <c r="G69" s="51" t="str">
        <f>IF($E69="","",IF(ISNA(VLOOKUP($E69,DD!$A$2:$C$150,3,0)),"",VLOOKUP($E69,DD!$A$2:$C$150,3,0)))</f>
        <v/>
      </c>
      <c r="H69" s="52"/>
      <c r="I69" s="52"/>
      <c r="J69" s="52"/>
      <c r="K69" s="52"/>
      <c r="L69" s="52"/>
      <c r="M69" s="50"/>
      <c r="N69" s="45" t="str">
        <f t="shared" si="2"/>
        <v/>
      </c>
      <c r="O69" s="45" t="str">
        <f>IF(N69="","",N69+O68)</f>
        <v/>
      </c>
    </row>
    <row r="70" spans="1:20" x14ac:dyDescent="0.25">
      <c r="A70" s="97"/>
      <c r="B70" s="98"/>
      <c r="C70" s="99"/>
      <c r="D70" s="46">
        <v>3</v>
      </c>
      <c r="E70" s="62"/>
      <c r="F70" s="45" t="str">
        <f>IF($E70="","",IF(ISNA(VLOOKUP($E70,DD!$A$2:$C$150,2,0)),"NO SUCH DIVE",VLOOKUP($E70,DD!$A$2:$C$150,2,0)))</f>
        <v/>
      </c>
      <c r="G70" s="46" t="str">
        <f>IF($E70="","",IF(ISNA(VLOOKUP($E70,DD!$A$2:$C$150,3,0)),"",VLOOKUP($E70,DD!$A$2:$C$150,3,0)))</f>
        <v/>
      </c>
      <c r="H70" s="52"/>
      <c r="I70" s="52"/>
      <c r="J70" s="52"/>
      <c r="K70" s="52"/>
      <c r="L70" s="52"/>
      <c r="M70" s="50"/>
      <c r="N70" s="45" t="str">
        <f t="shared" si="2"/>
        <v/>
      </c>
      <c r="O70" s="54">
        <f>IF(N70="",0,N70+O69)</f>
        <v>0</v>
      </c>
    </row>
    <row r="71" spans="1:20" ht="15" customHeight="1" x14ac:dyDescent="0.25">
      <c r="A71" s="100">
        <v>24</v>
      </c>
      <c r="B71" s="101" t="s">
        <v>77</v>
      </c>
      <c r="C71" s="102" t="s">
        <v>57</v>
      </c>
      <c r="D71" s="55">
        <v>1</v>
      </c>
      <c r="E71" s="56" t="s">
        <v>45</v>
      </c>
      <c r="F71" s="57" t="str">
        <f>IF($E71="","",IF(ISNA(VLOOKUP($E71,DD!$A$2:$C$150,2,0)),"NO SUCH DIVE",VLOOKUP($E71,DD!$A$2:$C$150,2,0)))</f>
        <v>Front jump tuck</v>
      </c>
      <c r="G71" s="58">
        <f>IF($E71="","",IF(ISNA(VLOOKUP($E71,DD!$A$2:$C$150,3,0)),"",VLOOKUP($E71,DD!$A$2:$C$150,3,0)))</f>
        <v>0.6</v>
      </c>
      <c r="H71" s="59">
        <v>5.5</v>
      </c>
      <c r="I71" s="59">
        <v>6.5</v>
      </c>
      <c r="J71" s="59">
        <v>6</v>
      </c>
      <c r="K71" s="59">
        <v>5.5</v>
      </c>
      <c r="L71" s="59">
        <v>5.5</v>
      </c>
      <c r="M71" s="56"/>
      <c r="N71" s="57">
        <f t="shared" si="2"/>
        <v>10.199999999999999</v>
      </c>
      <c r="O71" s="57">
        <f>IF(N71="","",N71)</f>
        <v>10.199999999999999</v>
      </c>
    </row>
    <row r="72" spans="1:20" x14ac:dyDescent="0.25">
      <c r="A72" s="100"/>
      <c r="B72" s="101"/>
      <c r="C72" s="102"/>
      <c r="D72" s="55">
        <v>2</v>
      </c>
      <c r="E72" s="56" t="s">
        <v>50</v>
      </c>
      <c r="F72" s="57" t="str">
        <f>IF($E72="","",IF(ISNA(VLOOKUP($E72,DD!$A$2:$C$150,2,0)),"NO SUCH DIVE",VLOOKUP($E72,DD!$A$2:$C$150,2,0)))</f>
        <v>Back jump layout</v>
      </c>
      <c r="G72" s="58">
        <f>IF($E72="","",IF(ISNA(VLOOKUP($E72,DD!$A$2:$C$150,3,0)),"",VLOOKUP($E72,DD!$A$2:$C$150,3,0)))</f>
        <v>0.5</v>
      </c>
      <c r="H72" s="59">
        <v>6</v>
      </c>
      <c r="I72" s="59">
        <v>5.5</v>
      </c>
      <c r="J72" s="59">
        <v>5.5</v>
      </c>
      <c r="K72" s="59">
        <v>6</v>
      </c>
      <c r="L72" s="59">
        <v>5</v>
      </c>
      <c r="M72" s="56"/>
      <c r="N72" s="57">
        <f t="shared" si="2"/>
        <v>8.5</v>
      </c>
      <c r="O72" s="57">
        <f>IF(N72="","",N72+O71)</f>
        <v>18.7</v>
      </c>
    </row>
    <row r="73" spans="1:20" x14ac:dyDescent="0.25">
      <c r="A73" s="100"/>
      <c r="B73" s="101"/>
      <c r="C73" s="102"/>
      <c r="D73" s="55">
        <v>3</v>
      </c>
      <c r="E73" s="56" t="s">
        <v>54</v>
      </c>
      <c r="F73" s="57" t="str">
        <f>IF($E73="","",IF(ISNA(VLOOKUP($E73,DD!$A$2:$C$150,2,0)),"NO SUCH DIVE",VLOOKUP($E73,DD!$A$2:$C$150,2,0)))</f>
        <v>Front dive layout</v>
      </c>
      <c r="G73" s="55">
        <f>IF($E73="","",IF(ISNA(VLOOKUP($E73,DD!$A$2:$C$150,3,0)),"",VLOOKUP($E73,DD!$A$2:$C$150,3,0)))</f>
        <v>1.3</v>
      </c>
      <c r="H73" s="59">
        <v>4</v>
      </c>
      <c r="I73" s="59">
        <v>3.5</v>
      </c>
      <c r="J73" s="59">
        <v>4.5</v>
      </c>
      <c r="K73" s="59">
        <v>4.5</v>
      </c>
      <c r="L73" s="59">
        <v>4</v>
      </c>
      <c r="M73" s="56"/>
      <c r="N73" s="57">
        <f t="shared" si="2"/>
        <v>16.25</v>
      </c>
      <c r="O73" s="60">
        <f>IF(N73="",0,N73+O72)</f>
        <v>34.950000000000003</v>
      </c>
    </row>
    <row r="74" spans="1:20" x14ac:dyDescent="0.25">
      <c r="B74" s="49"/>
      <c r="C74" s="49"/>
    </row>
    <row r="75" spans="1:20" ht="36" customHeight="1" x14ac:dyDescent="0.25">
      <c r="C75" s="63" t="s">
        <v>78</v>
      </c>
      <c r="D75" s="64" t="s">
        <v>79</v>
      </c>
      <c r="E75" s="65" t="s">
        <v>80</v>
      </c>
      <c r="F75" s="65" t="s">
        <v>27</v>
      </c>
      <c r="G75" s="65" t="s">
        <v>33</v>
      </c>
      <c r="H75" s="65" t="s">
        <v>81</v>
      </c>
      <c r="I75" s="66" t="s">
        <v>30</v>
      </c>
      <c r="R75" s="45" t="str">
        <f>INFO!$B$4</f>
        <v>Side</v>
      </c>
      <c r="S75" s="45" t="str">
        <f>INFO!$B$5</f>
        <v>ALPS</v>
      </c>
    </row>
    <row r="76" spans="1:20" x14ac:dyDescent="0.25">
      <c r="C76" s="67">
        <f>IF(E76&lt;1,0,1)</f>
        <v>1</v>
      </c>
      <c r="D76" s="68">
        <f>IF(OR(C76&lt;1,H76&lt;&gt;"",COUNTIF(T$76:T76,T76)&gt;3),"",VLOOKUP(C76-COUNTA(H$76:H76),DD!$E$24:$F$49,2))</f>
        <v>16</v>
      </c>
      <c r="E76" s="69">
        <f>IF(LARGE($R$2:$R$25,1)&lt;1,0,LARGE($R$2:$R$25,1))</f>
        <v>71.150022000000007</v>
      </c>
      <c r="F76" s="70" t="str">
        <f t="shared" ref="F76:F99" si="3">VLOOKUP(E76,$R$2:$T$26,2,0)</f>
        <v>Madeline Van Sickle</v>
      </c>
      <c r="G76" s="68" t="str">
        <f t="shared" ref="G76:G99" si="4">VLOOKUP(E76,$R$2:$T$26,3,0)</f>
        <v>PVPC</v>
      </c>
      <c r="H76" s="71"/>
      <c r="I76" s="72" t="str">
        <f t="shared" ref="I76:I98" si="5">IF(AND(OR(C76=C75,C76=C77),C76&lt;&gt;0),"TIE","")</f>
        <v/>
      </c>
      <c r="R76" s="45">
        <f t="shared" ref="R76:R99" si="6">IF(G76=$R$75,D76,0)</f>
        <v>0</v>
      </c>
      <c r="S76" s="45">
        <f t="shared" ref="S76:S99" si="7">IF(G76=$S$75,D76,0)</f>
        <v>0</v>
      </c>
      <c r="T76" s="73" t="str">
        <f t="shared" ref="T76:T99" si="8">G76&amp;H76</f>
        <v>PVPC</v>
      </c>
    </row>
    <row r="77" spans="1:20" x14ac:dyDescent="0.25">
      <c r="C77" s="67">
        <f>IF(E77&lt;1,0,IF(INT(E77*100)=INT(E76*100),C76,2))</f>
        <v>2</v>
      </c>
      <c r="D77" s="68">
        <f>IF(OR(C77&lt;1,H77&lt;&gt;"",COUNTIF(T$76:T77,T77)&gt;3),"",VLOOKUP(C77-COUNTA(H$76:H77),DD!$E$24:$F$49,2))</f>
        <v>14</v>
      </c>
      <c r="E77" s="69">
        <f>IF(LARGE($R$2:$R$25,2)&lt;1,0,LARGE($R$2:$R$25,2))</f>
        <v>53.400002999999998</v>
      </c>
      <c r="F77" s="70" t="str">
        <f t="shared" si="3"/>
        <v>Autumn Davidson</v>
      </c>
      <c r="G77" s="68" t="str">
        <f t="shared" si="4"/>
        <v>Val</v>
      </c>
      <c r="H77" s="71"/>
      <c r="I77" s="72" t="str">
        <f t="shared" si="5"/>
        <v/>
      </c>
      <c r="R77" s="45">
        <f t="shared" si="6"/>
        <v>0</v>
      </c>
      <c r="S77" s="45">
        <f t="shared" si="7"/>
        <v>0</v>
      </c>
      <c r="T77" s="73" t="str">
        <f t="shared" si="8"/>
        <v>Val</v>
      </c>
    </row>
    <row r="78" spans="1:20" x14ac:dyDescent="0.25">
      <c r="C78" s="67">
        <f>IF(E78&lt;1,0,IF(INT(E78*100)=INT(E77*100),C77,3))</f>
        <v>3</v>
      </c>
      <c r="D78" s="68">
        <f>IF(OR(C78&lt;1,H78&lt;&gt;"",COUNTIF(T$76:T78,T78)&gt;3),"",VLOOKUP(C78-COUNTA(H$76:H78),DD!$E$24:$F$49,2))</f>
        <v>12</v>
      </c>
      <c r="E78" s="69">
        <f>IF(LARGE($R$2:$R$25,3)&lt;1,0,LARGE($R$2:$R$25,3))</f>
        <v>49.750006999999997</v>
      </c>
      <c r="F78" s="70" t="str">
        <f t="shared" si="3"/>
        <v>Brynn Anderson</v>
      </c>
      <c r="G78" s="68" t="str">
        <f t="shared" si="4"/>
        <v>Side</v>
      </c>
      <c r="H78" s="71"/>
      <c r="I78" s="72" t="str">
        <f t="shared" si="5"/>
        <v/>
      </c>
      <c r="R78" s="45">
        <f t="shared" si="6"/>
        <v>12</v>
      </c>
      <c r="S78" s="45">
        <f t="shared" si="7"/>
        <v>0</v>
      </c>
      <c r="T78" s="73" t="str">
        <f t="shared" si="8"/>
        <v>Side</v>
      </c>
    </row>
    <row r="79" spans="1:20" x14ac:dyDescent="0.25">
      <c r="C79" s="67">
        <f>IF(E79&lt;1,0,IF(INT(E79*100)=INT(E78*100),C78,4))</f>
        <v>4</v>
      </c>
      <c r="D79" s="68">
        <f>IF(OR(C79&lt;1,H79&lt;&gt;"",COUNTIF(T$76:T79,T79)&gt;3),"",VLOOKUP(C79-COUNTA(H$76:H79),DD!$E$24:$F$49,2))</f>
        <v>11</v>
      </c>
      <c r="E79" s="69">
        <f>IF(LARGE($R$2:$R$25,4)&lt;1,0,LARGE($R$2:$R$25,4))</f>
        <v>49.400005</v>
      </c>
      <c r="F79" s="70" t="str">
        <f t="shared" si="3"/>
        <v>Beckett Cummings</v>
      </c>
      <c r="G79" s="68" t="str">
        <f t="shared" si="4"/>
        <v>Cedar</v>
      </c>
      <c r="H79" s="71"/>
      <c r="I79" s="72" t="str">
        <f t="shared" si="5"/>
        <v/>
      </c>
      <c r="R79" s="45">
        <f t="shared" si="6"/>
        <v>0</v>
      </c>
      <c r="S79" s="45">
        <f t="shared" si="7"/>
        <v>0</v>
      </c>
      <c r="T79" s="73" t="str">
        <f t="shared" si="8"/>
        <v>Cedar</v>
      </c>
    </row>
    <row r="80" spans="1:20" x14ac:dyDescent="0.25">
      <c r="C80" s="67">
        <f>IF(E80&lt;1,0,IF(INT(E80*100)=INT(E79*100),C79,5))</f>
        <v>5</v>
      </c>
      <c r="D80" s="68">
        <f>IF(OR(C80&lt;1,H80&lt;&gt;"",COUNTIF(T$76:T80,T80)&gt;3),"",VLOOKUP(C80-COUNTA(H$76:H80),DD!$E$24:$F$49,2))</f>
        <v>10</v>
      </c>
      <c r="E80" s="69">
        <f>IF(LARGE($R$2:$R$25,5)&lt;1,0,LARGE($R$2:$R$25,5))</f>
        <v>46.350003999999998</v>
      </c>
      <c r="F80" s="70" t="str">
        <f t="shared" si="3"/>
        <v>Avery Mark</v>
      </c>
      <c r="G80" s="68" t="str">
        <f t="shared" si="4"/>
        <v>MWAC</v>
      </c>
      <c r="H80" s="71"/>
      <c r="I80" s="72" t="str">
        <f t="shared" si="5"/>
        <v/>
      </c>
      <c r="R80" s="45">
        <f t="shared" si="6"/>
        <v>0</v>
      </c>
      <c r="S80" s="45">
        <f t="shared" si="7"/>
        <v>0</v>
      </c>
      <c r="T80" s="73" t="str">
        <f t="shared" si="8"/>
        <v>MWAC</v>
      </c>
    </row>
    <row r="81" spans="3:20" x14ac:dyDescent="0.25">
      <c r="C81" s="67">
        <f>IF(E81&lt;1,0,IF(INT(E81*100)=INT(E80*100),C80,6))</f>
        <v>6</v>
      </c>
      <c r="D81" s="68">
        <f>IF(OR(C81&lt;1,H81&lt;&gt;"",COUNTIF(T$76:T81,T81)&gt;3),"",VLOOKUP(C81-COUNTA(H$76:H81),DD!$E$24:$F$49,2))</f>
        <v>9</v>
      </c>
      <c r="E81" s="69">
        <f>IF(LARGE($R$2:$R$25,6)&lt;1,0,LARGE($R$2:$R$25,6))</f>
        <v>44.300013</v>
      </c>
      <c r="F81" s="70" t="str">
        <f t="shared" si="3"/>
        <v>Juliana Hillier</v>
      </c>
      <c r="G81" s="68" t="str">
        <f t="shared" si="4"/>
        <v>Cedar</v>
      </c>
      <c r="H81" s="71"/>
      <c r="I81" s="72" t="str">
        <f t="shared" si="5"/>
        <v/>
      </c>
      <c r="R81" s="45">
        <f t="shared" si="6"/>
        <v>0</v>
      </c>
      <c r="S81" s="45">
        <f t="shared" si="7"/>
        <v>0</v>
      </c>
      <c r="T81" s="73" t="str">
        <f t="shared" si="8"/>
        <v>Cedar</v>
      </c>
    </row>
    <row r="82" spans="3:20" x14ac:dyDescent="0.25">
      <c r="C82" s="67">
        <f>IF(E82&lt;1,0,IF(INT(E82*100)=INT(E81*100),C81,7))</f>
        <v>7</v>
      </c>
      <c r="D82" s="68">
        <f>IF(OR(C82&lt;1,H82&lt;&gt;"",COUNTIF(T$76:T82,T82)&gt;3),"",VLOOKUP(C82-COUNTA(H$76:H82),DD!$E$24:$F$49,2))</f>
        <v>7</v>
      </c>
      <c r="E82" s="69">
        <f>IF(LARGE($R$2:$R$25,7)&lt;1,0,LARGE($R$2:$R$25,7))</f>
        <v>42.900019000000007</v>
      </c>
      <c r="F82" s="70" t="str">
        <f t="shared" si="3"/>
        <v>Mimi Politis</v>
      </c>
      <c r="G82" s="68" t="str">
        <f t="shared" si="4"/>
        <v>HCP</v>
      </c>
      <c r="H82" s="71"/>
      <c r="I82" s="72" t="str">
        <f t="shared" si="5"/>
        <v/>
      </c>
      <c r="R82" s="45">
        <f t="shared" si="6"/>
        <v>0</v>
      </c>
      <c r="S82" s="45">
        <f t="shared" si="7"/>
        <v>0</v>
      </c>
      <c r="T82" s="73" t="str">
        <f t="shared" si="8"/>
        <v>HCP</v>
      </c>
    </row>
    <row r="83" spans="3:20" x14ac:dyDescent="0.25">
      <c r="C83" s="67">
        <f>IF(E83&lt;1,0,IF(INT(E83*100)=INT(E82*100),C82,8))</f>
        <v>8</v>
      </c>
      <c r="D83" s="68">
        <f>IF(OR(C83&lt;1,H83&lt;&gt;"",COUNTIF(T$76:T83,T83)&gt;3),"",VLOOKUP(C83-COUNTA(H$76:H83),DD!$E$24:$F$49,2))</f>
        <v>5</v>
      </c>
      <c r="E83" s="69">
        <f>IF(LARGE($R$2:$R$25,8)&lt;1,0,LARGE($R$2:$R$25,8))</f>
        <v>41.600014999999999</v>
      </c>
      <c r="F83" s="70" t="str">
        <f t="shared" si="3"/>
        <v>Clementine N-J</v>
      </c>
      <c r="G83" s="68" t="str">
        <f t="shared" si="4"/>
        <v>Val</v>
      </c>
      <c r="H83" s="71"/>
      <c r="I83" s="72" t="str">
        <f t="shared" si="5"/>
        <v/>
      </c>
      <c r="R83" s="45">
        <f t="shared" si="6"/>
        <v>0</v>
      </c>
      <c r="S83" s="45">
        <f t="shared" si="7"/>
        <v>0</v>
      </c>
      <c r="T83" s="73" t="str">
        <f t="shared" si="8"/>
        <v>Val</v>
      </c>
    </row>
    <row r="84" spans="3:20" x14ac:dyDescent="0.25">
      <c r="C84" s="67">
        <f>IF(E84&lt;1,0,IF(INT(E84*100)=INT(E83*100),C83,9))</f>
        <v>9</v>
      </c>
      <c r="D84" s="68">
        <f>IF(OR(C84&lt;1,H84&lt;&gt;"",COUNTIF(T$76:T84,T84)&gt;3),"",VLOOKUP(C84-COUNTA(H$76:H84),DD!$E$24:$F$49,2))</f>
        <v>4</v>
      </c>
      <c r="E84" s="69">
        <f>IF(LARGE($R$2:$R$25,9)&lt;1,0,LARGE($R$2:$R$25,9))</f>
        <v>40.600016000000004</v>
      </c>
      <c r="F84" s="70" t="str">
        <f t="shared" si="3"/>
        <v>Maddy Machado</v>
      </c>
      <c r="G84" s="68" t="str">
        <f t="shared" si="4"/>
        <v>Val</v>
      </c>
      <c r="H84" s="71"/>
      <c r="I84" s="72" t="str">
        <f t="shared" si="5"/>
        <v/>
      </c>
      <c r="R84" s="45">
        <f t="shared" si="6"/>
        <v>0</v>
      </c>
      <c r="S84" s="45">
        <f t="shared" si="7"/>
        <v>0</v>
      </c>
      <c r="T84" s="73" t="str">
        <f t="shared" si="8"/>
        <v>Val</v>
      </c>
    </row>
    <row r="85" spans="3:20" x14ac:dyDescent="0.25">
      <c r="C85" s="67">
        <f>IF(E85&lt;1,0,IF(INT(E85*100)=INT(E84*100),C84,10))</f>
        <v>10</v>
      </c>
      <c r="D85" s="68">
        <f>IF(OR(C85&lt;1,H85&lt;&gt;"",COUNTIF(T$76:T85,T85)&gt;3),"",VLOOKUP(C85-COUNTA(H$76:H85),DD!$E$24:$F$49,2))</f>
        <v>3</v>
      </c>
      <c r="E85" s="69">
        <f>IF(LARGE($R$2:$R$25,10)&lt;1,0,LARGE($R$2:$R$25,10))</f>
        <v>39.800005999999996</v>
      </c>
      <c r="F85" s="70" t="str">
        <f t="shared" si="3"/>
        <v>Bella Bolanis</v>
      </c>
      <c r="G85" s="68" t="str">
        <f t="shared" si="4"/>
        <v>VIK</v>
      </c>
      <c r="H85" s="71"/>
      <c r="I85" s="72" t="str">
        <f t="shared" si="5"/>
        <v/>
      </c>
      <c r="R85" s="45">
        <f t="shared" si="6"/>
        <v>0</v>
      </c>
      <c r="S85" s="45">
        <f t="shared" si="7"/>
        <v>0</v>
      </c>
      <c r="T85" s="73" t="str">
        <f t="shared" si="8"/>
        <v>VIK</v>
      </c>
    </row>
    <row r="86" spans="3:20" x14ac:dyDescent="0.25">
      <c r="C86" s="67">
        <f>IF(E86&lt;1,0,IF(INT(E86*100)=INT(E85*100),C85,11))</f>
        <v>11</v>
      </c>
      <c r="D86" s="68">
        <f>IF(OR(C86&lt;1,H86&lt;&gt;"",COUNTIF(T$76:T86,T86)&gt;3),"",VLOOKUP(C86-COUNTA(H$76:H86),DD!$E$24:$F$49,2))</f>
        <v>2</v>
      </c>
      <c r="E86" s="69">
        <f>IF(LARGE($R$2:$R$25,11)&lt;1,0,LARGE($R$2:$R$25,11))</f>
        <v>39.700010000000006</v>
      </c>
      <c r="F86" s="70" t="str">
        <f t="shared" si="3"/>
        <v>Émilie Dubois</v>
      </c>
      <c r="G86" s="68" t="str">
        <f t="shared" si="4"/>
        <v>VIK</v>
      </c>
      <c r="H86" s="71"/>
      <c r="I86" s="72" t="str">
        <f t="shared" si="5"/>
        <v/>
      </c>
      <c r="R86" s="45">
        <f t="shared" si="6"/>
        <v>0</v>
      </c>
      <c r="S86" s="45">
        <f t="shared" si="7"/>
        <v>0</v>
      </c>
      <c r="T86" s="73" t="str">
        <f t="shared" si="8"/>
        <v>VIK</v>
      </c>
    </row>
    <row r="87" spans="3:20" x14ac:dyDescent="0.25">
      <c r="C87" s="67">
        <f>IF(E87&lt;1,0,IF(INT(E87*100)=INT(E86*100),C86,12))</f>
        <v>12</v>
      </c>
      <c r="D87" s="68">
        <f>IF(OR(C87&lt;1,H87&lt;&gt;"",COUNTIF(T$76:T87,T87)&gt;3),"",VLOOKUP(C87-COUNTA(H$76:H87),DD!$E$24:$F$49,2))</f>
        <v>1</v>
      </c>
      <c r="E87" s="69">
        <f>IF(LARGE($R$2:$R$25,12)&lt;1,0,LARGE($R$2:$R$25,12))</f>
        <v>38.900008999999997</v>
      </c>
      <c r="F87" s="70" t="str">
        <f t="shared" si="3"/>
        <v>Chloe McLean</v>
      </c>
      <c r="G87" s="68" t="str">
        <f t="shared" si="4"/>
        <v>Cedar</v>
      </c>
      <c r="H87" s="71"/>
      <c r="I87" s="72" t="str">
        <f t="shared" si="5"/>
        <v/>
      </c>
      <c r="R87" s="45">
        <f t="shared" si="6"/>
        <v>0</v>
      </c>
      <c r="S87" s="45">
        <f t="shared" si="7"/>
        <v>0</v>
      </c>
      <c r="T87" s="73" t="str">
        <f t="shared" si="8"/>
        <v>Cedar</v>
      </c>
    </row>
    <row r="88" spans="3:20" x14ac:dyDescent="0.25">
      <c r="C88" s="67">
        <f>IF(E88&lt;1,0,IF(INT(E88*100)=INT(E87*100),C87,13))</f>
        <v>13</v>
      </c>
      <c r="D88" s="68" t="str">
        <f>IF(OR(C88&lt;1,H88&lt;&gt;"",COUNTIF(T$76:T88,T88)&gt;3),"",VLOOKUP(C88-COUNTA(H$76:H88),DD!$E$24:$F$49,2))</f>
        <v/>
      </c>
      <c r="E88" s="69">
        <f>IF(LARGE($R$2:$R$25,13)&lt;1,0,LARGE($R$2:$R$25,13))</f>
        <v>37.500019999999999</v>
      </c>
      <c r="F88" s="70" t="str">
        <f t="shared" si="3"/>
        <v>Reagan Cummings</v>
      </c>
      <c r="G88" s="68" t="str">
        <f t="shared" si="4"/>
        <v>Cedar</v>
      </c>
      <c r="H88" s="71"/>
      <c r="I88" s="72" t="str">
        <f t="shared" si="5"/>
        <v/>
      </c>
      <c r="R88" s="45">
        <f t="shared" si="6"/>
        <v>0</v>
      </c>
      <c r="S88" s="45">
        <f t="shared" si="7"/>
        <v>0</v>
      </c>
      <c r="T88" s="73" t="str">
        <f t="shared" si="8"/>
        <v>Cedar</v>
      </c>
    </row>
    <row r="89" spans="3:20" x14ac:dyDescent="0.25">
      <c r="C89" s="67">
        <f>IF(E89&lt;1,0,IF(INT(E89*100)=INT(E88*100),C88,14))</f>
        <v>14</v>
      </c>
      <c r="D89" s="68" t="str">
        <f>IF(OR(C89&lt;1,H89&lt;&gt;"",COUNTIF(T$76:T89,T89)&gt;3),"",VLOOKUP(C89-COUNTA(H$76:H89),DD!$E$24:$F$49,2))</f>
        <v/>
      </c>
      <c r="E89" s="69">
        <f>IF(LARGE($R$2:$R$25,14)&lt;1,0,LARGE($R$2:$R$25,14))</f>
        <v>36.500017</v>
      </c>
      <c r="F89" s="70" t="str">
        <f t="shared" si="3"/>
        <v>Mackenzie Landry-Johnston</v>
      </c>
      <c r="G89" s="68" t="str">
        <f t="shared" si="4"/>
        <v>Cedar</v>
      </c>
      <c r="H89" s="71"/>
      <c r="I89" s="72" t="str">
        <f t="shared" si="5"/>
        <v/>
      </c>
      <c r="R89" s="45">
        <f t="shared" si="6"/>
        <v>0</v>
      </c>
      <c r="S89" s="45">
        <f t="shared" si="7"/>
        <v>0</v>
      </c>
      <c r="T89" s="73" t="str">
        <f t="shared" si="8"/>
        <v>Cedar</v>
      </c>
    </row>
    <row r="90" spans="3:20" x14ac:dyDescent="0.25">
      <c r="C90" s="67">
        <f>IF(E90&lt;1,0,IF(INT(E90*100)=INT(E89*100),C89,15))</f>
        <v>15</v>
      </c>
      <c r="D90" s="68" t="str">
        <f>IF(OR(C90&lt;1,H90&lt;&gt;"",COUNTIF(T$76:T90,T90)&gt;3),"",VLOOKUP(C90-COUNTA(H$76:H90),DD!$E$24:$F$49,2))</f>
        <v/>
      </c>
      <c r="E90" s="69">
        <f>IF(LARGE($R$2:$R$25,15)&lt;1,0,LARGE($R$2:$R$25,15))</f>
        <v>34.950024000000006</v>
      </c>
      <c r="F90" s="70" t="str">
        <f t="shared" si="3"/>
        <v>Thalia Graham</v>
      </c>
      <c r="G90" s="68" t="str">
        <f t="shared" si="4"/>
        <v>Cedar</v>
      </c>
      <c r="H90" s="71"/>
      <c r="I90" s="72" t="str">
        <f t="shared" si="5"/>
        <v/>
      </c>
      <c r="R90" s="45">
        <f t="shared" si="6"/>
        <v>0</v>
      </c>
      <c r="S90" s="45">
        <f t="shared" si="7"/>
        <v>0</v>
      </c>
      <c r="T90" s="73" t="str">
        <f t="shared" si="8"/>
        <v>Cedar</v>
      </c>
    </row>
    <row r="91" spans="3:20" x14ac:dyDescent="0.25">
      <c r="C91" s="67">
        <f>IF(E91&lt;1,0,IF(INT(E91*100)=INT(E90*100),C90,16))</f>
        <v>16</v>
      </c>
      <c r="D91" s="68" t="str">
        <f>IF(OR(C91&lt;1,H91&lt;&gt;"",COUNTIF(T$76:T91,T91)&gt;3),"",VLOOKUP(C91-COUNTA(H$76:H91),DD!$E$24:$F$49,2))</f>
        <v/>
      </c>
      <c r="E91" s="69">
        <f>IF(LARGE($R$2:$R$25,16)&lt;1,0,LARGE($R$2:$R$25,16))</f>
        <v>34.450012000000001</v>
      </c>
      <c r="F91" s="70" t="str">
        <f t="shared" si="3"/>
        <v>Kira Leslie</v>
      </c>
      <c r="G91" s="68" t="str">
        <f t="shared" si="4"/>
        <v>Cedar</v>
      </c>
      <c r="H91" s="71"/>
      <c r="I91" s="72" t="str">
        <f t="shared" si="5"/>
        <v/>
      </c>
      <c r="R91" s="45">
        <f t="shared" si="6"/>
        <v>0</v>
      </c>
      <c r="S91" s="45">
        <f t="shared" si="7"/>
        <v>0</v>
      </c>
      <c r="T91" s="73" t="str">
        <f t="shared" si="8"/>
        <v>Cedar</v>
      </c>
    </row>
    <row r="92" spans="3:20" x14ac:dyDescent="0.25">
      <c r="C92" s="67">
        <f>IF(E92&lt;1,0,IF(INT(E92*100)=INT(E91*100),C91,17))</f>
        <v>17</v>
      </c>
      <c r="D92" s="68">
        <f>IF(OR(C92&lt;1,H92&lt;&gt;"",COUNTIF(T$76:T92,T92)&gt;3),"",VLOOKUP(C92-COUNTA(H$76:H92),DD!$E$24:$F$49,2))</f>
        <v>0</v>
      </c>
      <c r="E92" s="69">
        <f>IF(LARGE($R$2:$R$25,17)&lt;1,0,LARGE($R$2:$R$25,17))</f>
        <v>33.900010999999999</v>
      </c>
      <c r="F92" s="70" t="str">
        <f t="shared" si="3"/>
        <v>Emmanuelle Pomerleau</v>
      </c>
      <c r="G92" s="68" t="str">
        <f t="shared" si="4"/>
        <v>HCP</v>
      </c>
      <c r="H92" s="71"/>
      <c r="I92" s="72" t="str">
        <f t="shared" si="5"/>
        <v/>
      </c>
      <c r="R92" s="45">
        <f t="shared" si="6"/>
        <v>0</v>
      </c>
      <c r="S92" s="45">
        <f t="shared" si="7"/>
        <v>0</v>
      </c>
      <c r="T92" s="73" t="str">
        <f t="shared" si="8"/>
        <v>HCP</v>
      </c>
    </row>
    <row r="93" spans="3:20" x14ac:dyDescent="0.25">
      <c r="C93" s="67">
        <f>IF(E93&lt;1,0,IF(INT(E93*100)=INT(E92*100),C92,18))</f>
        <v>18</v>
      </c>
      <c r="D93" s="68">
        <f>IF(OR(C93&lt;1,H93&lt;&gt;"",COUNTIF(T$76:T93,T93)&gt;3),"",VLOOKUP(C93-COUNTA(H$76:H93),DD!$E$24:$F$49,2))</f>
        <v>0</v>
      </c>
      <c r="E93" s="69">
        <f>IF(LARGE($R$2:$R$25,18)&lt;1,0,LARGE($R$2:$R$25,18))</f>
        <v>33.300000999999995</v>
      </c>
      <c r="F93" s="70" t="str">
        <f t="shared" si="3"/>
        <v>Audrey Altman</v>
      </c>
      <c r="G93" s="68" t="str">
        <f t="shared" si="4"/>
        <v>MWAC</v>
      </c>
      <c r="H93" s="71"/>
      <c r="I93" s="72" t="str">
        <f t="shared" si="5"/>
        <v/>
      </c>
      <c r="R93" s="45">
        <f t="shared" si="6"/>
        <v>0</v>
      </c>
      <c r="S93" s="45">
        <f t="shared" si="7"/>
        <v>0</v>
      </c>
      <c r="T93" s="73" t="str">
        <f t="shared" si="8"/>
        <v>MWAC</v>
      </c>
    </row>
    <row r="94" spans="3:20" x14ac:dyDescent="0.25">
      <c r="C94" s="67">
        <f>IF(E94&lt;1,0,IF(INT(E94*100)=INT(E93*100),C93,19))</f>
        <v>19</v>
      </c>
      <c r="D94" s="68">
        <f>IF(OR(C94&lt;1,H94&lt;&gt;"",COUNTIF(T$76:T94,T94)&gt;3),"",VLOOKUP(C94-COUNTA(H$76:H94),DD!$E$24:$F$49,2))</f>
        <v>0</v>
      </c>
      <c r="E94" s="69">
        <f>IF(LARGE($R$2:$R$25,19)&lt;1,0,LARGE($R$2:$R$25,19))</f>
        <v>31.500001999999999</v>
      </c>
      <c r="F94" s="70" t="str">
        <f t="shared" si="3"/>
        <v>Audrey Roy</v>
      </c>
      <c r="G94" s="68" t="str">
        <f t="shared" si="4"/>
        <v>HCP</v>
      </c>
      <c r="H94" s="71"/>
      <c r="I94" s="72" t="str">
        <f t="shared" si="5"/>
        <v/>
      </c>
      <c r="R94" s="45">
        <f t="shared" si="6"/>
        <v>0</v>
      </c>
      <c r="S94" s="45">
        <f t="shared" si="7"/>
        <v>0</v>
      </c>
      <c r="T94" s="73" t="str">
        <f t="shared" si="8"/>
        <v>HCP</v>
      </c>
    </row>
    <row r="95" spans="3:20" x14ac:dyDescent="0.25">
      <c r="C95" s="67">
        <f>IF(E95&lt;1,0,IF(INT(E95*100)=INT(E94*100),C94,20))</f>
        <v>20</v>
      </c>
      <c r="D95" s="68" t="str">
        <f>IF(OR(C95&lt;1,H95&lt;&gt;"",COUNTIF(T$76:T95,T95)&gt;3),"",VLOOKUP(C95-COUNTA(H$76:H95),DD!$E$24:$F$49,2))</f>
        <v/>
      </c>
      <c r="E95" s="69">
        <f>IF(LARGE($R$2:$R$25,20)&lt;1,0,LARGE($R$2:$R$25,20))</f>
        <v>31.000021</v>
      </c>
      <c r="F95" s="70" t="str">
        <f t="shared" si="3"/>
        <v>Rylan Miller</v>
      </c>
      <c r="G95" s="68" t="str">
        <f t="shared" si="4"/>
        <v>Cedar</v>
      </c>
      <c r="H95" s="71"/>
      <c r="I95" s="72" t="str">
        <f t="shared" si="5"/>
        <v/>
      </c>
      <c r="R95" s="45">
        <f t="shared" si="6"/>
        <v>0</v>
      </c>
      <c r="S95" s="45">
        <f t="shared" si="7"/>
        <v>0</v>
      </c>
      <c r="T95" s="73" t="str">
        <f t="shared" si="8"/>
        <v>Cedar</v>
      </c>
    </row>
    <row r="96" spans="3:20" x14ac:dyDescent="0.25">
      <c r="C96" s="67">
        <f>IF(E96&lt;1,0,IF(INT(E96*100)=INT(E95*100),C95,21))</f>
        <v>21</v>
      </c>
      <c r="D96" s="68">
        <f>IF(OR(C96&lt;1,H96&lt;&gt;"",COUNTIF(T$76:T96,T96)&gt;3),"",VLOOKUP(C96-COUNTA(H$76:H96),DD!$E$24:$F$49,2))</f>
        <v>0</v>
      </c>
      <c r="E96" s="69">
        <f>IF(LARGE($R$2:$R$25,21)&lt;1,0,LARGE($R$2:$R$25,21))</f>
        <v>30.000014</v>
      </c>
      <c r="F96" s="70" t="str">
        <f t="shared" si="3"/>
        <v>Tori Barnes</v>
      </c>
      <c r="G96" s="68" t="str">
        <f t="shared" si="4"/>
        <v>BHILL</v>
      </c>
      <c r="H96" s="71"/>
      <c r="I96" s="72" t="str">
        <f t="shared" si="5"/>
        <v/>
      </c>
      <c r="R96" s="45">
        <f t="shared" si="6"/>
        <v>0</v>
      </c>
      <c r="S96" s="45">
        <f t="shared" si="7"/>
        <v>0</v>
      </c>
      <c r="T96" s="73" t="str">
        <f t="shared" si="8"/>
        <v>BHILL</v>
      </c>
    </row>
    <row r="97" spans="3:20" x14ac:dyDescent="0.25">
      <c r="C97" s="67">
        <f>IF(E97&lt;1,0,IF(INT(E97*100)=INT(E96*100),C96,22))</f>
        <v>0</v>
      </c>
      <c r="D97" s="68" t="str">
        <f>IF(OR(C97&lt;1,H97&lt;&gt;"",COUNTIF(T$76:T97,T97)&gt;3),"",VLOOKUP(C97-COUNTA(H$76:H97),DD!$E$24:$F$49,2))</f>
        <v/>
      </c>
      <c r="E97" s="69">
        <f>IF(LARGE($R$2:$R$25,22)&lt;1,0,LARGE($R$2:$R$25,22))</f>
        <v>0</v>
      </c>
      <c r="F97" s="70">
        <f t="shared" si="3"/>
        <v>0</v>
      </c>
      <c r="G97" s="68">
        <f t="shared" si="4"/>
        <v>0</v>
      </c>
      <c r="H97" s="71"/>
      <c r="I97" s="72" t="str">
        <f t="shared" si="5"/>
        <v/>
      </c>
      <c r="R97" s="45">
        <f t="shared" si="6"/>
        <v>0</v>
      </c>
      <c r="S97" s="45">
        <f t="shared" si="7"/>
        <v>0</v>
      </c>
      <c r="T97" s="73" t="str">
        <f t="shared" si="8"/>
        <v>0</v>
      </c>
    </row>
    <row r="98" spans="3:20" x14ac:dyDescent="0.25">
      <c r="C98" s="67">
        <f>IF(E98&lt;1,0,IF(INT(E98*100)=INT(E97*100),C97,23))</f>
        <v>0</v>
      </c>
      <c r="D98" s="68" t="str">
        <f>IF(OR(C98&lt;1,H98&lt;&gt;"",COUNTIF(T$76:T98,T98)&gt;3),"",VLOOKUP(C98-COUNTA(H$76:H98),DD!$E$24:$F$49,2))</f>
        <v/>
      </c>
      <c r="E98" s="69">
        <f>IF(LARGE($R$2:$R$25,23)&lt;1,0,LARGE($R$2:$R$25,23))</f>
        <v>0</v>
      </c>
      <c r="F98" s="70">
        <f t="shared" si="3"/>
        <v>0</v>
      </c>
      <c r="G98" s="68">
        <f t="shared" si="4"/>
        <v>0</v>
      </c>
      <c r="H98" s="71"/>
      <c r="I98" s="72" t="str">
        <f t="shared" si="5"/>
        <v/>
      </c>
      <c r="R98" s="45">
        <f t="shared" si="6"/>
        <v>0</v>
      </c>
      <c r="S98" s="45">
        <f t="shared" si="7"/>
        <v>0</v>
      </c>
      <c r="T98" s="73" t="str">
        <f t="shared" si="8"/>
        <v>0</v>
      </c>
    </row>
    <row r="99" spans="3:20" x14ac:dyDescent="0.25">
      <c r="C99" s="67">
        <f>IF(E99&lt;1,0,IF(INT(E99*100)=INT(E98*100),C98,24))</f>
        <v>0</v>
      </c>
      <c r="D99" s="68" t="str">
        <f>IF(OR(C99&lt;1,H99&lt;&gt;"",COUNTIF(T$76:T99,T99)&gt;3),"",VLOOKUP(C99-COUNTA(H$76:H99),DD!$E$24:$F$49,2))</f>
        <v/>
      </c>
      <c r="E99" s="69">
        <f>IF(LARGE($R$2:$R$25,24)&lt;1,0,LARGE($R$2:$R$25,24))</f>
        <v>0</v>
      </c>
      <c r="F99" s="70">
        <f t="shared" si="3"/>
        <v>0</v>
      </c>
      <c r="G99" s="68">
        <f t="shared" si="4"/>
        <v>0</v>
      </c>
      <c r="H99" s="71"/>
      <c r="I99" s="72" t="str">
        <f>IF(AND(C99=C98,C99&lt;&gt;0),"TIE","")</f>
        <v/>
      </c>
      <c r="R99" s="45">
        <f t="shared" si="6"/>
        <v>0</v>
      </c>
      <c r="S99" s="45">
        <f t="shared" si="7"/>
        <v>0</v>
      </c>
      <c r="T99" s="73" t="str">
        <f t="shared" si="8"/>
        <v>0</v>
      </c>
    </row>
    <row r="100" spans="3:20" x14ac:dyDescent="0.25">
      <c r="C100" s="74"/>
      <c r="D100" s="75"/>
      <c r="E100" s="76"/>
      <c r="F100" s="77"/>
      <c r="G100" s="75"/>
      <c r="H100" s="78"/>
      <c r="I100" s="79"/>
      <c r="M100" s="45"/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1539" priority="2">
      <formula>IF(SUM(G2:G3)&gt;3.7,1,0)</formula>
    </cfRule>
  </conditionalFormatting>
  <conditionalFormatting sqref="G2">
    <cfRule type="expression" dxfId="1538" priority="3">
      <formula>IF(SUM(G2:G3)&gt;3.7,1,0)</formula>
    </cfRule>
  </conditionalFormatting>
  <conditionalFormatting sqref="E3">
    <cfRule type="expression" dxfId="1537" priority="4">
      <formula>IF(E3="",0,IF(LEFT(E3,1)=LEFT(E2,1),1,0))</formula>
    </cfRule>
  </conditionalFormatting>
  <conditionalFormatting sqref="E4">
    <cfRule type="expression" dxfId="1536" priority="5">
      <formula>IF(E4="",0,IF(OR(LEFT(E4,LEN(E4)-1)=LEFT(E3,LEN(E3)-1),LEFT(E4,LEN(E4)-1)=LEFT(E2,LEN(E2)-1)),1,0))</formula>
    </cfRule>
  </conditionalFormatting>
  <conditionalFormatting sqref="G6">
    <cfRule type="expression" dxfId="1535" priority="6">
      <formula>IF(SUM(G5:G6)&gt;3.7,1,0)</formula>
    </cfRule>
  </conditionalFormatting>
  <conditionalFormatting sqref="G5">
    <cfRule type="expression" dxfId="1534" priority="7">
      <formula>IF(SUM(G5:G6)&gt;3.7,1,0)</formula>
    </cfRule>
  </conditionalFormatting>
  <conditionalFormatting sqref="E6">
    <cfRule type="expression" dxfId="1533" priority="8">
      <formula>IF(E6="",0,IF(LEFT(E6,1)=LEFT(E5,1),1,0))</formula>
    </cfRule>
  </conditionalFormatting>
  <conditionalFormatting sqref="E7">
    <cfRule type="expression" dxfId="1532" priority="9">
      <formula>IF(E7="",0,IF(OR(LEFT(E7,LEN(E7)-1)=LEFT(E6,LEN(E6)-1),LEFT(E7,LEN(E7)-1)=LEFT(E5,LEN(E5)-1)),1,0))</formula>
    </cfRule>
  </conditionalFormatting>
  <conditionalFormatting sqref="G9">
    <cfRule type="expression" dxfId="1531" priority="10">
      <formula>IF(SUM(G8:G9)&gt;3.7,1,0)</formula>
    </cfRule>
  </conditionalFormatting>
  <conditionalFormatting sqref="G8">
    <cfRule type="expression" dxfId="1530" priority="11">
      <formula>IF(SUM(G8:G9)&gt;3.7,1,0)</formula>
    </cfRule>
  </conditionalFormatting>
  <conditionalFormatting sqref="E9">
    <cfRule type="expression" dxfId="1529" priority="12">
      <formula>IF(E9="",0,IF(LEFT(E9,1)=LEFT(E8,1),1,0))</formula>
    </cfRule>
  </conditionalFormatting>
  <conditionalFormatting sqref="E10">
    <cfRule type="expression" dxfId="1528" priority="13">
      <formula>IF(E10="",0,IF(OR(LEFT(E10,LEN(E10)-1)=LEFT(E9,LEN(E9)-1),LEFT(E10,LEN(E10)-1)=LEFT(E8,LEN(E8)-1)),1,0))</formula>
    </cfRule>
  </conditionalFormatting>
  <conditionalFormatting sqref="G12">
    <cfRule type="expression" dxfId="1527" priority="14">
      <formula>IF(SUM(G11:G12)&gt;3.7,1,0)</formula>
    </cfRule>
  </conditionalFormatting>
  <conditionalFormatting sqref="G11">
    <cfRule type="expression" dxfId="1526" priority="15">
      <formula>IF(SUM(G11:G12)&gt;3.7,1,0)</formula>
    </cfRule>
  </conditionalFormatting>
  <conditionalFormatting sqref="E12">
    <cfRule type="expression" dxfId="1525" priority="16">
      <formula>IF(E12="",0,IF(LEFT(E12,1)=LEFT(E11,1),1,0))</formula>
    </cfRule>
  </conditionalFormatting>
  <conditionalFormatting sqref="E13">
    <cfRule type="expression" dxfId="1524" priority="17">
      <formula>IF(E13="",0,IF(OR(LEFT(E13,LEN(E13)-1)=LEFT(E12,LEN(E12)-1),LEFT(E13,LEN(E13)-1)=LEFT(E11,LEN(E11)-1)),1,0))</formula>
    </cfRule>
  </conditionalFormatting>
  <conditionalFormatting sqref="G15">
    <cfRule type="expression" dxfId="1523" priority="18">
      <formula>IF(SUM(G14:G15)&gt;3.7,1,0)</formula>
    </cfRule>
  </conditionalFormatting>
  <conditionalFormatting sqref="G14">
    <cfRule type="expression" dxfId="1522" priority="19">
      <formula>IF(SUM(G14:G15)&gt;3.7,1,0)</formula>
    </cfRule>
  </conditionalFormatting>
  <conditionalFormatting sqref="E15">
    <cfRule type="expression" dxfId="1521" priority="20">
      <formula>IF(E15="",0,IF(LEFT(E15,1)=LEFT(E14,1),1,0))</formula>
    </cfRule>
  </conditionalFormatting>
  <conditionalFormatting sqref="E16">
    <cfRule type="expression" dxfId="1520" priority="21">
      <formula>IF(E16="",0,IF(OR(LEFT(E16,LEN(E16)-1)=LEFT(E15,LEN(E15)-1),LEFT(E16,LEN(E16)-1)=LEFT(E14,LEN(E14)-1)),1,0))</formula>
    </cfRule>
  </conditionalFormatting>
  <conditionalFormatting sqref="G18">
    <cfRule type="expression" dxfId="1519" priority="22">
      <formula>IF(SUM(G17:G18)&gt;3.7,1,0)</formula>
    </cfRule>
  </conditionalFormatting>
  <conditionalFormatting sqref="G17">
    <cfRule type="expression" dxfId="1518" priority="23">
      <formula>IF(SUM(G17:G18)&gt;3.7,1,0)</formula>
    </cfRule>
  </conditionalFormatting>
  <conditionalFormatting sqref="E18">
    <cfRule type="expression" dxfId="1517" priority="24">
      <formula>IF(E18="",0,IF(LEFT(E18,1)=LEFT(E17,1),1,0))</formula>
    </cfRule>
  </conditionalFormatting>
  <conditionalFormatting sqref="E19">
    <cfRule type="expression" dxfId="1516" priority="25">
      <formula>IF(E19="",0,IF(OR(LEFT(E19,LEN(E19)-1)=LEFT(E18,LEN(E18)-1),LEFT(E19,LEN(E19)-1)=LEFT(E17,LEN(E17)-1)),1,0))</formula>
    </cfRule>
  </conditionalFormatting>
  <conditionalFormatting sqref="G21">
    <cfRule type="expression" dxfId="1515" priority="26">
      <formula>IF(SUM(G20:G21)&gt;3.7,1,0)</formula>
    </cfRule>
  </conditionalFormatting>
  <conditionalFormatting sqref="G20">
    <cfRule type="expression" dxfId="1514" priority="27">
      <formula>IF(SUM(G20:G21)&gt;3.7,1,0)</formula>
    </cfRule>
  </conditionalFormatting>
  <conditionalFormatting sqref="E21">
    <cfRule type="expression" dxfId="1513" priority="28">
      <formula>IF(E21="",0,IF(LEFT(E21,1)=LEFT(E20,1),1,0))</formula>
    </cfRule>
  </conditionalFormatting>
  <conditionalFormatting sqref="E22">
    <cfRule type="expression" dxfId="1512" priority="29">
      <formula>IF(E22="",0,IF(OR(LEFT(E22,LEN(E22)-1)=LEFT(E21,LEN(E21)-1),LEFT(E22,LEN(E22)-1)=LEFT(E20,LEN(E20)-1)),1,0))</formula>
    </cfRule>
  </conditionalFormatting>
  <conditionalFormatting sqref="G24">
    <cfRule type="expression" dxfId="1511" priority="30">
      <formula>IF(SUM(G23:G24)&gt;3.7,1,0)</formula>
    </cfRule>
  </conditionalFormatting>
  <conditionalFormatting sqref="G23">
    <cfRule type="expression" dxfId="1510" priority="31">
      <formula>IF(SUM(G23:G24)&gt;3.7,1,0)</formula>
    </cfRule>
  </conditionalFormatting>
  <conditionalFormatting sqref="E24">
    <cfRule type="expression" dxfId="1509" priority="32">
      <formula>IF(E24="",0,IF(LEFT(E24,1)=LEFT(E23,1),1,0))</formula>
    </cfRule>
  </conditionalFormatting>
  <conditionalFormatting sqref="E25">
    <cfRule type="expression" dxfId="1508" priority="33">
      <formula>IF(E25="",0,IF(OR(LEFT(E25,LEN(E25)-1)=LEFT(E24,LEN(E24)-1),LEFT(E25,LEN(E25)-1)=LEFT(E23,LEN(E23)-1)),1,0))</formula>
    </cfRule>
  </conditionalFormatting>
  <conditionalFormatting sqref="G27">
    <cfRule type="expression" dxfId="1507" priority="34">
      <formula>IF(SUM(G26:G27)&gt;3.7,1,0)</formula>
    </cfRule>
  </conditionalFormatting>
  <conditionalFormatting sqref="G26">
    <cfRule type="expression" dxfId="1506" priority="35">
      <formula>IF(SUM(G26:G27)&gt;3.7,1,0)</formula>
    </cfRule>
  </conditionalFormatting>
  <conditionalFormatting sqref="E27">
    <cfRule type="expression" dxfId="1505" priority="36">
      <formula>IF(E27="",0,IF(LEFT(E27,1)=LEFT(E26,1),1,0))</formula>
    </cfRule>
  </conditionalFormatting>
  <conditionalFormatting sqref="E28">
    <cfRule type="expression" dxfId="1504" priority="37">
      <formula>IF(E28="",0,IF(OR(LEFT(E28,LEN(E28)-1)=LEFT(E27,LEN(E27)-1),LEFT(E28,LEN(E28)-1)=LEFT(E26,LEN(E26)-1)),1,0))</formula>
    </cfRule>
  </conditionalFormatting>
  <conditionalFormatting sqref="G30">
    <cfRule type="expression" dxfId="1503" priority="38">
      <formula>IF(SUM(G29:G30)&gt;3.7,1,0)</formula>
    </cfRule>
  </conditionalFormatting>
  <conditionalFormatting sqref="G29">
    <cfRule type="expression" dxfId="1502" priority="39">
      <formula>IF(SUM(G29:G30)&gt;3.7,1,0)</formula>
    </cfRule>
  </conditionalFormatting>
  <conditionalFormatting sqref="E30">
    <cfRule type="expression" dxfId="1501" priority="40">
      <formula>IF(E30="",0,IF(LEFT(E30,1)=LEFT(E29,1),1,0))</formula>
    </cfRule>
  </conditionalFormatting>
  <conditionalFormatting sqref="E31">
    <cfRule type="expression" dxfId="1500" priority="41">
      <formula>IF(E31="",0,IF(OR(LEFT(E31,LEN(E31)-1)=LEFT(E30,LEN(E30)-1),LEFT(E31,LEN(E31)-1)=LEFT(E29,LEN(E29)-1)),1,0))</formula>
    </cfRule>
  </conditionalFormatting>
  <conditionalFormatting sqref="G33">
    <cfRule type="expression" dxfId="1499" priority="42">
      <formula>IF(SUM(G32:G33)&gt;3.7,1,0)</formula>
    </cfRule>
  </conditionalFormatting>
  <conditionalFormatting sqref="G32">
    <cfRule type="expression" dxfId="1498" priority="43">
      <formula>IF(SUM(G32:G33)&gt;3.7,1,0)</formula>
    </cfRule>
  </conditionalFormatting>
  <conditionalFormatting sqref="E33">
    <cfRule type="expression" dxfId="1497" priority="44">
      <formula>IF(E33="",0,IF(LEFT(E33,1)=LEFT(E32,1),1,0))</formula>
    </cfRule>
  </conditionalFormatting>
  <conditionalFormatting sqref="E34">
    <cfRule type="expression" dxfId="1496" priority="45">
      <formula>IF(E34="",0,IF(OR(LEFT(E34,LEN(E34)-1)=LEFT(E33,LEN(E33)-1),LEFT(E34,LEN(E34)-1)=LEFT(E32,LEN(E32)-1)),1,0))</formula>
    </cfRule>
  </conditionalFormatting>
  <conditionalFormatting sqref="G36">
    <cfRule type="expression" dxfId="1495" priority="46">
      <formula>IF(SUM(G35:G36)&gt;3.7,1,0)</formula>
    </cfRule>
  </conditionalFormatting>
  <conditionalFormatting sqref="G35">
    <cfRule type="expression" dxfId="1494" priority="47">
      <formula>IF(SUM(G35:G36)&gt;3.7,1,0)</formula>
    </cfRule>
  </conditionalFormatting>
  <conditionalFormatting sqref="E36">
    <cfRule type="expression" dxfId="1493" priority="48">
      <formula>IF(E36="",0,IF(LEFT(E36,1)=LEFT(E35,1),1,0))</formula>
    </cfRule>
  </conditionalFormatting>
  <conditionalFormatting sqref="E37">
    <cfRule type="expression" dxfId="1492" priority="49">
      <formula>IF(E37="",0,IF(OR(LEFT(E37,LEN(E37)-1)=LEFT(E36,LEN(E36)-1),LEFT(E37,LEN(E37)-1)=LEFT(E35,LEN(E35)-1)),1,0))</formula>
    </cfRule>
  </conditionalFormatting>
  <conditionalFormatting sqref="G39">
    <cfRule type="expression" dxfId="1491" priority="50">
      <formula>IF(SUM(G38:G39)&gt;3.7,1,0)</formula>
    </cfRule>
  </conditionalFormatting>
  <conditionalFormatting sqref="G38">
    <cfRule type="expression" dxfId="1490" priority="51">
      <formula>IF(SUM(G38:G39)&gt;3.7,1,0)</formula>
    </cfRule>
  </conditionalFormatting>
  <conditionalFormatting sqref="E39">
    <cfRule type="expression" dxfId="1489" priority="52">
      <formula>IF(E39="",0,IF(LEFT(E39,1)=LEFT(E38,1),1,0))</formula>
    </cfRule>
  </conditionalFormatting>
  <conditionalFormatting sqref="E40">
    <cfRule type="expression" dxfId="1488" priority="53">
      <formula>IF(E40="",0,IF(OR(LEFT(E40,LEN(E40)-1)=LEFT(E39,LEN(E39)-1),LEFT(E40,LEN(E40)-1)=LEFT(E38,LEN(E38)-1)),1,0))</formula>
    </cfRule>
  </conditionalFormatting>
  <conditionalFormatting sqref="G42">
    <cfRule type="expression" dxfId="1487" priority="54">
      <formula>IF(SUM(G41:G42)&gt;3.7,1,0)</formula>
    </cfRule>
  </conditionalFormatting>
  <conditionalFormatting sqref="G41">
    <cfRule type="expression" dxfId="1486" priority="55">
      <formula>IF(SUM(G41:G42)&gt;3.7,1,0)</formula>
    </cfRule>
  </conditionalFormatting>
  <conditionalFormatting sqref="E42">
    <cfRule type="expression" dxfId="1485" priority="56">
      <formula>IF(E42="",0,IF(LEFT(E42,1)=LEFT(E41,1),1,0))</formula>
    </cfRule>
  </conditionalFormatting>
  <conditionalFormatting sqref="E43">
    <cfRule type="expression" dxfId="1484" priority="57">
      <formula>IF(E43="",0,IF(OR(LEFT(E43,LEN(E43)-1)=LEFT(E42,LEN(E42)-1),LEFT(E43,LEN(E43)-1)=LEFT(E41,LEN(E41)-1)),1,0))</formula>
    </cfRule>
  </conditionalFormatting>
  <conditionalFormatting sqref="G45">
    <cfRule type="expression" dxfId="1483" priority="58">
      <formula>IF(SUM(G44:G45)&gt;3.7,1,0)</formula>
    </cfRule>
  </conditionalFormatting>
  <conditionalFormatting sqref="G44">
    <cfRule type="expression" dxfId="1482" priority="59">
      <formula>IF(SUM(G44:G45)&gt;3.7,1,0)</formula>
    </cfRule>
  </conditionalFormatting>
  <conditionalFormatting sqref="E45">
    <cfRule type="expression" dxfId="1481" priority="60">
      <formula>IF(E45="",0,IF(LEFT(E45,1)=LEFT(E44,1),1,0))</formula>
    </cfRule>
  </conditionalFormatting>
  <conditionalFormatting sqref="E46">
    <cfRule type="expression" dxfId="1480" priority="61">
      <formula>IF(E46="",0,IF(OR(LEFT(E46,LEN(E46)-1)=LEFT(E45,LEN(E45)-1),LEFT(E46,LEN(E46)-1)=LEFT(E44,LEN(E44)-1)),1,0))</formula>
    </cfRule>
  </conditionalFormatting>
  <conditionalFormatting sqref="G48">
    <cfRule type="expression" dxfId="1479" priority="62">
      <formula>IF(SUM(G47:G48)&gt;3.7,1,0)</formula>
    </cfRule>
  </conditionalFormatting>
  <conditionalFormatting sqref="G47">
    <cfRule type="expression" dxfId="1478" priority="63">
      <formula>IF(SUM(G47:G48)&gt;3.7,1,0)</formula>
    </cfRule>
  </conditionalFormatting>
  <conditionalFormatting sqref="E48">
    <cfRule type="expression" dxfId="1477" priority="64">
      <formula>IF(E48="",0,IF(LEFT(E48,1)=LEFT(E47,1),1,0))</formula>
    </cfRule>
  </conditionalFormatting>
  <conditionalFormatting sqref="E49">
    <cfRule type="expression" dxfId="1476" priority="65">
      <formula>IF(E49="",0,IF(OR(LEFT(E49,LEN(E49)-1)=LEFT(E48,LEN(E48)-1),LEFT(E49,LEN(E49)-1)=LEFT(E47,LEN(E47)-1)),1,0))</formula>
    </cfRule>
  </conditionalFormatting>
  <conditionalFormatting sqref="G51">
    <cfRule type="expression" dxfId="1475" priority="66">
      <formula>IF(SUM(G50:G51)&gt;3.7,1,0)</formula>
    </cfRule>
  </conditionalFormatting>
  <conditionalFormatting sqref="G50">
    <cfRule type="expression" dxfId="1474" priority="67">
      <formula>IF(SUM(G50:G51)&gt;3.7,1,0)</formula>
    </cfRule>
  </conditionalFormatting>
  <conditionalFormatting sqref="E51">
    <cfRule type="expression" dxfId="1473" priority="68">
      <formula>IF(E51="",0,IF(LEFT(E51,1)=LEFT(E50,1),1,0))</formula>
    </cfRule>
  </conditionalFormatting>
  <conditionalFormatting sqref="E52">
    <cfRule type="expression" dxfId="1472" priority="69">
      <formula>IF(E52="",0,IF(OR(LEFT(E52,LEN(E52)-1)=LEFT(E51,LEN(E51)-1),LEFT(E52,LEN(E52)-1)=LEFT(E50,LEN(E50)-1)),1,0))</formula>
    </cfRule>
  </conditionalFormatting>
  <conditionalFormatting sqref="G54">
    <cfRule type="expression" dxfId="1471" priority="70">
      <formula>IF(SUM(G53:G54)&gt;3.7,1,0)</formula>
    </cfRule>
  </conditionalFormatting>
  <conditionalFormatting sqref="G53">
    <cfRule type="expression" dxfId="1470" priority="71">
      <formula>IF(SUM(G53:G54)&gt;3.7,1,0)</formula>
    </cfRule>
  </conditionalFormatting>
  <conditionalFormatting sqref="E54">
    <cfRule type="expression" dxfId="1469" priority="72">
      <formula>IF(E54="",0,IF(LEFT(E54,1)=LEFT(E53,1),1,0))</formula>
    </cfRule>
  </conditionalFormatting>
  <conditionalFormatting sqref="E55">
    <cfRule type="expression" dxfId="1468" priority="73">
      <formula>IF(E55="",0,IF(OR(LEFT(E55,LEN(E55)-1)=LEFT(E54,LEN(E54)-1),LEFT(E55,LEN(E55)-1)=LEFT(E53,LEN(E53)-1)),1,0))</formula>
    </cfRule>
  </conditionalFormatting>
  <conditionalFormatting sqref="G57">
    <cfRule type="expression" dxfId="1467" priority="74">
      <formula>IF(SUM(G56:G57)&gt;3.7,1,0)</formula>
    </cfRule>
  </conditionalFormatting>
  <conditionalFormatting sqref="G56">
    <cfRule type="expression" dxfId="1466" priority="75">
      <formula>IF(SUM(G56:G57)&gt;3.7,1,0)</formula>
    </cfRule>
  </conditionalFormatting>
  <conditionalFormatting sqref="E57">
    <cfRule type="expression" dxfId="1465" priority="76">
      <formula>IF(E57="",0,IF(LEFT(E57,1)=LEFT(E56,1),1,0))</formula>
    </cfRule>
  </conditionalFormatting>
  <conditionalFormatting sqref="E58">
    <cfRule type="expression" dxfId="1464" priority="77">
      <formula>IF(E58="",0,IF(OR(LEFT(E58,LEN(E58)-1)=LEFT(E57,LEN(E57)-1),LEFT(E58,LEN(E58)-1)=LEFT(E56,LEN(E56)-1)),1,0))</formula>
    </cfRule>
  </conditionalFormatting>
  <conditionalFormatting sqref="G60">
    <cfRule type="expression" dxfId="1463" priority="78">
      <formula>IF(SUM(G59:G60)&gt;3.7,1,0)</formula>
    </cfRule>
  </conditionalFormatting>
  <conditionalFormatting sqref="G59">
    <cfRule type="expression" dxfId="1462" priority="79">
      <formula>IF(SUM(G59:G60)&gt;3.7,1,0)</formula>
    </cfRule>
  </conditionalFormatting>
  <conditionalFormatting sqref="E60">
    <cfRule type="expression" dxfId="1461" priority="80">
      <formula>IF(E60="",0,IF(LEFT(E60,1)=LEFT(E59,1),1,0))</formula>
    </cfRule>
  </conditionalFormatting>
  <conditionalFormatting sqref="E61">
    <cfRule type="expression" dxfId="1460" priority="81">
      <formula>IF(E61="",0,IF(OR(LEFT(E61,LEN(E61)-1)=LEFT(E60,LEN(E60)-1),LEFT(E61,LEN(E61)-1)=LEFT(E59,LEN(E59)-1)),1,0))</formula>
    </cfRule>
  </conditionalFormatting>
  <conditionalFormatting sqref="G63">
    <cfRule type="expression" dxfId="1459" priority="82">
      <formula>IF(SUM(G62:G63)&gt;3.7,1,0)</formula>
    </cfRule>
  </conditionalFormatting>
  <conditionalFormatting sqref="G62">
    <cfRule type="expression" dxfId="1458" priority="83">
      <formula>IF(SUM(G62:G63)&gt;3.7,1,0)</formula>
    </cfRule>
  </conditionalFormatting>
  <conditionalFormatting sqref="E63">
    <cfRule type="expression" dxfId="1457" priority="84">
      <formula>IF(E63="",0,IF(LEFT(E63,1)=LEFT(E62,1),1,0))</formula>
    </cfRule>
  </conditionalFormatting>
  <conditionalFormatting sqref="E64">
    <cfRule type="expression" dxfId="1456" priority="85">
      <formula>IF(E64="",0,IF(OR(LEFT(E64,LEN(E64)-1)=LEFT(E63,LEN(E63)-1),LEFT(E64,LEN(E64)-1)=LEFT(E62,LEN(E62)-1)),1,0))</formula>
    </cfRule>
  </conditionalFormatting>
  <conditionalFormatting sqref="G66">
    <cfRule type="expression" dxfId="1455" priority="86">
      <formula>IF(SUM(G65:G66)&gt;3.7,1,0)</formula>
    </cfRule>
  </conditionalFormatting>
  <conditionalFormatting sqref="G65">
    <cfRule type="expression" dxfId="1454" priority="87">
      <formula>IF(SUM(G65:G66)&gt;3.7,1,0)</formula>
    </cfRule>
  </conditionalFormatting>
  <conditionalFormatting sqref="E66">
    <cfRule type="expression" dxfId="1453" priority="88">
      <formula>IF(E66="",0,IF(LEFT(E66,1)=LEFT(E65,1),1,0))</formula>
    </cfRule>
  </conditionalFormatting>
  <conditionalFormatting sqref="E67">
    <cfRule type="expression" dxfId="1452" priority="89">
      <formula>IF(E67="",0,IF(OR(LEFT(E67,LEN(E67)-1)=LEFT(E66,LEN(E66)-1),LEFT(E67,LEN(E67)-1)=LEFT(E65,LEN(E65)-1)),1,0))</formula>
    </cfRule>
  </conditionalFormatting>
  <conditionalFormatting sqref="G69">
    <cfRule type="expression" dxfId="1451" priority="90">
      <formula>IF(SUM(G68:G69)&gt;3.7,1,0)</formula>
    </cfRule>
  </conditionalFormatting>
  <conditionalFormatting sqref="G68">
    <cfRule type="expression" dxfId="1450" priority="91">
      <formula>IF(SUM(G68:G69)&gt;3.7,1,0)</formula>
    </cfRule>
  </conditionalFormatting>
  <conditionalFormatting sqref="E69">
    <cfRule type="expression" dxfId="1449" priority="92">
      <formula>IF(E69="",0,IF(LEFT(E69,1)=LEFT(E68,1),1,0))</formula>
    </cfRule>
  </conditionalFormatting>
  <conditionalFormatting sqref="E70">
    <cfRule type="expression" dxfId="1448" priority="93">
      <formula>IF(E70="",0,IF(OR(LEFT(E70,LEN(E70)-1)=LEFT(E69,LEN(E69)-1),LEFT(E70,LEN(E70)-1)=LEFT(E68,LEN(E68)-1)),1,0))</formula>
    </cfRule>
  </conditionalFormatting>
  <conditionalFormatting sqref="G72">
    <cfRule type="expression" dxfId="1447" priority="94">
      <formula>IF(SUM(G71:G72)&gt;3.7,1,0)</formula>
    </cfRule>
  </conditionalFormatting>
  <conditionalFormatting sqref="G71">
    <cfRule type="expression" dxfId="1446" priority="95">
      <formula>IF(SUM(G71:G72)&gt;3.7,1,0)</formula>
    </cfRule>
  </conditionalFormatting>
  <conditionalFormatting sqref="E72">
    <cfRule type="expression" dxfId="1445" priority="96">
      <formula>IF(E72="",0,IF(LEFT(E72,1)=LEFT(E71,1),1,0))</formula>
    </cfRule>
  </conditionalFormatting>
  <conditionalFormatting sqref="E73">
    <cfRule type="expression" dxfId="1444" priority="97">
      <formula>IF(E73="",0,IF(OR(LEFT(E73,LEN(E73)-1)=LEFT(E72,LEN(E72)-1),LEFT(E73,LEN(E73)-1)=LEFT(E71,LEN(E71)-1)),1,0))</formula>
    </cfRule>
  </conditionalFormatting>
  <dataValidations count="1">
    <dataValidation allowBlank="1" showInputMessage="1" prompt="Before you start your meet, make sure to fill in the INFO page or the automatic scoring functions WILL NOT WORK" sqref="B2:B4">
      <formula1>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C2:C73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pane ySplit="1" topLeftCell="A2" activePane="bottomLeft" state="frozen"/>
      <selection activeCell="H1" sqref="H1"/>
      <selection pane="bottomLeft" activeCell="I8" sqref="I8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9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20" width="13.710937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ht="15" customHeight="1" x14ac:dyDescent="0.25">
      <c r="A2" s="97">
        <v>1</v>
      </c>
      <c r="B2" s="109" t="s">
        <v>389</v>
      </c>
      <c r="C2" s="111" t="s">
        <v>83</v>
      </c>
      <c r="D2" s="46">
        <v>1</v>
      </c>
      <c r="E2" s="50" t="s">
        <v>116</v>
      </c>
      <c r="F2" s="45" t="str">
        <f>IF($E2="","",IF(ISNA(VLOOKUP($E2,DD!$A$2:$C$150,2,0)),"NO SUCH DIVE",VLOOKUP($E2,DD!$A$2:$C$150,2,0)))</f>
        <v>Front dive layout</v>
      </c>
      <c r="G2" s="51">
        <f>IF($E2="","",IF(ISNA(VLOOKUP($E2,DD!$A$2:$C$150,3,0)),"",VLOOKUP($E2,DD!$A$2:$C$150,3,0)))</f>
        <v>1.3</v>
      </c>
      <c r="H2" s="52">
        <v>5</v>
      </c>
      <c r="I2" s="52">
        <v>5.5</v>
      </c>
      <c r="J2" s="52">
        <v>5.5</v>
      </c>
      <c r="K2" s="52">
        <v>5</v>
      </c>
      <c r="L2" s="52">
        <v>5.5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20.8</v>
      </c>
      <c r="O2" s="45">
        <f>IF(N2="","",N2)</f>
        <v>20.8</v>
      </c>
      <c r="R2" s="53">
        <f>O4+0.000001</f>
        <v>60.000000999999997</v>
      </c>
      <c r="S2" s="53" t="str">
        <f>B2</f>
        <v>Aidan Hunziker</v>
      </c>
      <c r="T2" s="53" t="str">
        <f>C2</f>
        <v>BHILL</v>
      </c>
    </row>
    <row r="3" spans="1:20" x14ac:dyDescent="0.25">
      <c r="A3" s="97"/>
      <c r="B3" s="109"/>
      <c r="C3" s="111"/>
      <c r="D3" s="46">
        <v>2</v>
      </c>
      <c r="E3" s="50" t="s">
        <v>115</v>
      </c>
      <c r="F3" s="45" t="str">
        <f>IF($E3="","",IF(ISNA(VLOOKUP($E3,DD!$A$2:$C$150,2,0)),"NO SUCH DIVE",VLOOKUP($E3,DD!$A$2:$C$150,2,0)))</f>
        <v>Back dive layout</v>
      </c>
      <c r="G3" s="51">
        <f>IF($E3="","",IF(ISNA(VLOOKUP($E3,DD!$A$2:$C$150,3,0)),"",VLOOKUP($E3,DD!$A$2:$C$150,3,0)))</f>
        <v>1.4</v>
      </c>
      <c r="H3" s="52">
        <v>7.5</v>
      </c>
      <c r="I3" s="52">
        <v>6.5</v>
      </c>
      <c r="J3" s="52">
        <v>6.5</v>
      </c>
      <c r="K3" s="52">
        <v>7</v>
      </c>
      <c r="L3" s="52">
        <v>6.5</v>
      </c>
      <c r="M3" s="50"/>
      <c r="N3" s="45">
        <f t="shared" si="0"/>
        <v>28</v>
      </c>
      <c r="O3" s="45">
        <f>IF(N3="","",N3+O2)</f>
        <v>48.8</v>
      </c>
      <c r="R3" s="53">
        <f>O7+0.000002</f>
        <v>27.500001999999999</v>
      </c>
      <c r="S3" s="53" t="str">
        <f>B5</f>
        <v>Tyler Barnes</v>
      </c>
      <c r="T3" s="53" t="str">
        <f>C5</f>
        <v>BHILL</v>
      </c>
    </row>
    <row r="4" spans="1:20" x14ac:dyDescent="0.25">
      <c r="A4" s="97"/>
      <c r="B4" s="109"/>
      <c r="C4" s="111"/>
      <c r="D4" s="46">
        <v>3</v>
      </c>
      <c r="E4" s="50" t="s">
        <v>133</v>
      </c>
      <c r="F4" s="45" t="str">
        <f>IF($E4="","",IF(ISNA(VLOOKUP($E4,DD!$A$2:$C$150,2,0)),"NO SUCH DIVE",VLOOKUP($E4,DD!$A$2:$C$150,2,0)))</f>
        <v>Front somersault tuck</v>
      </c>
      <c r="G4" s="46">
        <f>IF($E4="","",IF(ISNA(VLOOKUP($E4,DD!$A$2:$C$150,3,0)),"",VLOOKUP($E4,DD!$A$2:$C$150,3,0)))</f>
        <v>1.4</v>
      </c>
      <c r="H4" s="52">
        <v>2</v>
      </c>
      <c r="I4" s="52">
        <v>3</v>
      </c>
      <c r="J4" s="52">
        <v>3</v>
      </c>
      <c r="K4" s="52">
        <v>3</v>
      </c>
      <c r="L4" s="52">
        <v>2</v>
      </c>
      <c r="M4" s="50"/>
      <c r="N4" s="45">
        <f t="shared" si="0"/>
        <v>11.2</v>
      </c>
      <c r="O4" s="54">
        <f>IF(N4="",0,N4+O3)</f>
        <v>60</v>
      </c>
      <c r="R4" s="53">
        <f>O10+0.000003</f>
        <v>42.550002999999997</v>
      </c>
      <c r="S4" s="53" t="str">
        <f>B8</f>
        <v>Justin Wener</v>
      </c>
      <c r="T4" s="53" t="str">
        <f>C8</f>
        <v>MWAC</v>
      </c>
    </row>
    <row r="5" spans="1:20" ht="13.9" customHeight="1" x14ac:dyDescent="0.25">
      <c r="A5" s="103">
        <v>2</v>
      </c>
      <c r="B5" s="110" t="s">
        <v>390</v>
      </c>
      <c r="C5" s="112" t="s">
        <v>83</v>
      </c>
      <c r="D5" s="80">
        <v>1</v>
      </c>
      <c r="E5" s="81" t="s">
        <v>63</v>
      </c>
      <c r="F5" s="82" t="str">
        <f>IF($E5="","",IF(ISNA(VLOOKUP($E5,DD!$A$2:$C$150,2,0)),"NO SUCH DIVE",VLOOKUP($E5,DD!$A$2:$C$150,2,0)))</f>
        <v>Front jump layout</v>
      </c>
      <c r="G5" s="83">
        <f>IF($E5="","",IF(ISNA(VLOOKUP($E5,DD!$A$2:$C$150,3,0)),"",VLOOKUP($E5,DD!$A$2:$C$150,3,0)))</f>
        <v>0.5</v>
      </c>
      <c r="H5" s="84">
        <v>5</v>
      </c>
      <c r="I5" s="84">
        <v>5</v>
      </c>
      <c r="J5" s="84">
        <v>4</v>
      </c>
      <c r="K5" s="84">
        <v>5</v>
      </c>
      <c r="L5" s="84">
        <v>4.5</v>
      </c>
      <c r="M5" s="81"/>
      <c r="N5" s="82">
        <f t="shared" si="0"/>
        <v>7.25</v>
      </c>
      <c r="O5" s="82">
        <f>IF(N5="","",N5)</f>
        <v>7.25</v>
      </c>
      <c r="R5" s="53">
        <f>O13+0.000004</f>
        <v>73.850003999999998</v>
      </c>
      <c r="S5" s="53" t="str">
        <f>B11</f>
        <v>Cedric Nelson</v>
      </c>
      <c r="T5" s="53" t="str">
        <f>C11</f>
        <v>HCP</v>
      </c>
    </row>
    <row r="6" spans="1:20" x14ac:dyDescent="0.25">
      <c r="A6" s="103"/>
      <c r="B6" s="110"/>
      <c r="C6" s="112"/>
      <c r="D6" s="80">
        <v>2</v>
      </c>
      <c r="E6" s="81" t="s">
        <v>50</v>
      </c>
      <c r="F6" s="82" t="str">
        <f>IF($E6="","",IF(ISNA(VLOOKUP($E6,DD!$A$2:$C$150,2,0)),"NO SUCH DIVE",VLOOKUP($E6,DD!$A$2:$C$150,2,0)))</f>
        <v>Back jump layout</v>
      </c>
      <c r="G6" s="83">
        <f>IF($E6="","",IF(ISNA(VLOOKUP($E6,DD!$A$2:$C$150,3,0)),"",VLOOKUP($E6,DD!$A$2:$C$150,3,0)))</f>
        <v>0.5</v>
      </c>
      <c r="H6" s="84">
        <v>4.5</v>
      </c>
      <c r="I6" s="84">
        <v>4.5</v>
      </c>
      <c r="J6" s="84">
        <v>5</v>
      </c>
      <c r="K6" s="84">
        <v>4.5</v>
      </c>
      <c r="L6" s="84">
        <v>4.5</v>
      </c>
      <c r="M6" s="81"/>
      <c r="N6" s="82">
        <f t="shared" si="0"/>
        <v>6.75</v>
      </c>
      <c r="O6" s="82">
        <f>IF(N6="","",N6+O5)</f>
        <v>14</v>
      </c>
      <c r="R6" s="53">
        <f>O16+0.000005</f>
        <v>53.700004999999997</v>
      </c>
      <c r="S6" s="53" t="str">
        <f>B14</f>
        <v>Cale Robinson</v>
      </c>
      <c r="T6" s="53" t="str">
        <f>C14</f>
        <v>BHILL</v>
      </c>
    </row>
    <row r="7" spans="1:20" x14ac:dyDescent="0.25">
      <c r="A7" s="103"/>
      <c r="B7" s="110"/>
      <c r="C7" s="112"/>
      <c r="D7" s="80">
        <v>3</v>
      </c>
      <c r="E7" s="81" t="s">
        <v>47</v>
      </c>
      <c r="F7" s="82" t="str">
        <f>IF($E7="","",IF(ISNA(VLOOKUP($E7,DD!$A$2:$C$150,2,0)),"NO SUCH DIVE",VLOOKUP($E7,DD!$A$2:$C$150,2,0)))</f>
        <v>Front fall-in</v>
      </c>
      <c r="G7" s="80">
        <f>IF($E7="","",IF(ISNA(VLOOKUP($E7,DD!$A$2:$C$150,3,0)),"",VLOOKUP($E7,DD!$A$2:$C$150,3,0)))</f>
        <v>1</v>
      </c>
      <c r="H7" s="84">
        <v>4.5</v>
      </c>
      <c r="I7" s="84">
        <v>5</v>
      </c>
      <c r="J7" s="84">
        <v>4.5</v>
      </c>
      <c r="K7" s="84">
        <v>4.5</v>
      </c>
      <c r="L7" s="84">
        <v>4.5</v>
      </c>
      <c r="M7" s="81"/>
      <c r="N7" s="82">
        <f t="shared" si="0"/>
        <v>13.5</v>
      </c>
      <c r="O7" s="85">
        <f>IF(N7="",0,N7+O6)</f>
        <v>27.5</v>
      </c>
      <c r="R7" s="53">
        <f>O19+0.000006</f>
        <v>34.850006</v>
      </c>
      <c r="S7" s="53" t="str">
        <f>B17</f>
        <v>Ethan Binet</v>
      </c>
      <c r="T7" s="53" t="str">
        <f>C17</f>
        <v>Val</v>
      </c>
    </row>
    <row r="8" spans="1:20" ht="13.9" customHeight="1" x14ac:dyDescent="0.25">
      <c r="A8" s="97">
        <v>3</v>
      </c>
      <c r="B8" s="109" t="s">
        <v>391</v>
      </c>
      <c r="C8" s="111" t="s">
        <v>44</v>
      </c>
      <c r="D8" s="46">
        <v>1</v>
      </c>
      <c r="E8" s="50" t="s">
        <v>63</v>
      </c>
      <c r="F8" s="45" t="str">
        <f>IF($E8="","",IF(ISNA(VLOOKUP($E8,DD!$A$2:$C$150,2,0)),"NO SUCH DIVE",VLOOKUP($E8,DD!$A$2:$C$150,2,0)))</f>
        <v>Front jump layout</v>
      </c>
      <c r="G8" s="51">
        <f>IF($E8="","",IF(ISNA(VLOOKUP($E8,DD!$A$2:$C$150,3,0)),"",VLOOKUP($E8,DD!$A$2:$C$150,3,0)))</f>
        <v>0.5</v>
      </c>
      <c r="H8" s="52">
        <v>7</v>
      </c>
      <c r="I8" s="52">
        <v>7</v>
      </c>
      <c r="J8" s="52">
        <v>6.5</v>
      </c>
      <c r="K8" s="52">
        <v>6</v>
      </c>
      <c r="L8" s="52">
        <v>6.5</v>
      </c>
      <c r="M8" s="50"/>
      <c r="N8" s="45">
        <f t="shared" si="0"/>
        <v>10</v>
      </c>
      <c r="O8" s="45">
        <f>IF(N8="","",N8)</f>
        <v>10</v>
      </c>
      <c r="R8" s="53">
        <f>O22+0.000007</f>
        <v>50.850006999999998</v>
      </c>
      <c r="S8" s="53" t="str">
        <f>B20</f>
        <v>Cooper MacDonnell</v>
      </c>
      <c r="T8" s="53" t="str">
        <f>C20</f>
        <v>Val</v>
      </c>
    </row>
    <row r="9" spans="1:20" x14ac:dyDescent="0.25">
      <c r="A9" s="97"/>
      <c r="B9" s="109"/>
      <c r="C9" s="111"/>
      <c r="D9" s="46">
        <v>2</v>
      </c>
      <c r="E9" s="50" t="s">
        <v>46</v>
      </c>
      <c r="F9" s="45" t="str">
        <f>IF($E9="","",IF(ISNA(VLOOKUP($E9,DD!$A$2:$C$150,2,0)),"NO SUCH DIVE",VLOOKUP($E9,DD!$A$2:$C$150,2,0)))</f>
        <v>Back fall in</v>
      </c>
      <c r="G9" s="51">
        <f>IF($E9="","",IF(ISNA(VLOOKUP($E9,DD!$A$2:$C$150,3,0)),"",VLOOKUP($E9,DD!$A$2:$C$150,3,0)))</f>
        <v>1</v>
      </c>
      <c r="H9" s="52">
        <v>5</v>
      </c>
      <c r="I9" s="52">
        <v>5</v>
      </c>
      <c r="J9" s="52">
        <v>5</v>
      </c>
      <c r="K9" s="52">
        <v>5</v>
      </c>
      <c r="L9" s="52">
        <v>5.5</v>
      </c>
      <c r="M9" s="50"/>
      <c r="N9" s="45">
        <f t="shared" si="0"/>
        <v>15</v>
      </c>
      <c r="O9" s="45">
        <f>IF(N9="","",N9+O8)</f>
        <v>25</v>
      </c>
      <c r="R9" s="53">
        <f>O25+0.000008</f>
        <v>34.200008000000004</v>
      </c>
      <c r="S9" s="53" t="str">
        <f>B23</f>
        <v>Reid Geffroy</v>
      </c>
      <c r="T9" s="53" t="str">
        <f>C23</f>
        <v>Val</v>
      </c>
    </row>
    <row r="10" spans="1:20" x14ac:dyDescent="0.25">
      <c r="A10" s="97"/>
      <c r="B10" s="109"/>
      <c r="C10" s="111"/>
      <c r="D10" s="46">
        <v>3</v>
      </c>
      <c r="E10" s="50" t="s">
        <v>54</v>
      </c>
      <c r="F10" s="45" t="str">
        <f>IF($E10="","",IF(ISNA(VLOOKUP($E10,DD!$A$2:$C$150,2,0)),"NO SUCH DIVE",VLOOKUP($E10,DD!$A$2:$C$150,2,0)))</f>
        <v>Front dive layout</v>
      </c>
      <c r="G10" s="46">
        <f>IF($E10="","",IF(ISNA(VLOOKUP($E10,DD!$A$2:$C$150,3,0)),"",VLOOKUP($E10,DD!$A$2:$C$150,3,0)))</f>
        <v>1.3</v>
      </c>
      <c r="H10" s="52">
        <v>4.5</v>
      </c>
      <c r="I10" s="52">
        <v>4</v>
      </c>
      <c r="J10" s="52">
        <v>4.5</v>
      </c>
      <c r="K10" s="52">
        <v>4.5</v>
      </c>
      <c r="L10" s="52">
        <v>4.5</v>
      </c>
      <c r="M10" s="50"/>
      <c r="N10" s="45">
        <f t="shared" si="0"/>
        <v>17.55</v>
      </c>
      <c r="O10" s="54">
        <f>IF(N10="",0,N10+O9)</f>
        <v>42.55</v>
      </c>
      <c r="R10" s="53">
        <f>O28+0.000009</f>
        <v>38.650008999999997</v>
      </c>
      <c r="S10" s="53" t="str">
        <f>B26</f>
        <v>Edward Derocher</v>
      </c>
      <c r="T10" s="53" t="str">
        <f>C26</f>
        <v>HCP</v>
      </c>
    </row>
    <row r="11" spans="1:20" x14ac:dyDescent="0.25">
      <c r="A11" s="103">
        <v>4</v>
      </c>
      <c r="B11" s="110" t="s">
        <v>392</v>
      </c>
      <c r="C11" s="112" t="s">
        <v>49</v>
      </c>
      <c r="D11" s="80">
        <v>1</v>
      </c>
      <c r="E11" s="81" t="s">
        <v>89</v>
      </c>
      <c r="F11" s="82" t="str">
        <f>IF($E11="","",IF(ISNA(VLOOKUP($E11,DD!$A$2:$C$150,2,0)),"NO SUCH DIVE",VLOOKUP($E11,DD!$A$2:$C$150,2,0)))</f>
        <v>Front dive tuck</v>
      </c>
      <c r="G11" s="83">
        <f>IF($E11="","",IF(ISNA(VLOOKUP($E11,DD!$A$2:$C$150,3,0)),"",VLOOKUP($E11,DD!$A$2:$C$150,3,0)))</f>
        <v>1.3</v>
      </c>
      <c r="H11" s="84">
        <v>6</v>
      </c>
      <c r="I11" s="84">
        <v>5</v>
      </c>
      <c r="J11" s="84">
        <v>6</v>
      </c>
      <c r="K11" s="84">
        <v>6</v>
      </c>
      <c r="L11" s="84">
        <v>5.5</v>
      </c>
      <c r="M11" s="81"/>
      <c r="N11" s="82">
        <f t="shared" si="0"/>
        <v>22.75</v>
      </c>
      <c r="O11" s="82">
        <f>IF(N11="","",N11)</f>
        <v>22.75</v>
      </c>
      <c r="R11" s="53">
        <f>O31+0.00001</f>
        <v>48.600009999999997</v>
      </c>
      <c r="S11" s="53" t="str">
        <f>B29</f>
        <v>Samuel Caron Madran</v>
      </c>
      <c r="T11" s="53" t="str">
        <f>C29</f>
        <v>Beau</v>
      </c>
    </row>
    <row r="12" spans="1:20" x14ac:dyDescent="0.25">
      <c r="A12" s="103"/>
      <c r="B12" s="110"/>
      <c r="C12" s="112"/>
      <c r="D12" s="80">
        <v>2</v>
      </c>
      <c r="E12" s="86" t="s">
        <v>58</v>
      </c>
      <c r="F12" s="82" t="str">
        <f>IF($E12="","",IF(ISNA(VLOOKUP($E12,DD!$A$2:$C$150,2,0)),"NO SUCH DIVE",VLOOKUP($E12,DD!$A$2:$C$150,2,0)))</f>
        <v>Back dive layout</v>
      </c>
      <c r="G12" s="83">
        <f>IF($E12="","",IF(ISNA(VLOOKUP($E12,DD!$A$2:$C$150,3,0)),"",VLOOKUP($E12,DD!$A$2:$C$150,3,0)))</f>
        <v>1.4</v>
      </c>
      <c r="H12" s="84">
        <v>6.5</v>
      </c>
      <c r="I12" s="84">
        <v>6.5</v>
      </c>
      <c r="J12" s="84">
        <v>5.5</v>
      </c>
      <c r="K12" s="84">
        <v>6.5</v>
      </c>
      <c r="L12" s="84">
        <v>5</v>
      </c>
      <c r="M12" s="81"/>
      <c r="N12" s="82">
        <f t="shared" si="0"/>
        <v>25.9</v>
      </c>
      <c r="O12" s="82">
        <f>IF(N12="","",N12+O11)</f>
        <v>48.65</v>
      </c>
      <c r="R12" s="53">
        <f>O34+0.000011</f>
        <v>28.200011</v>
      </c>
      <c r="S12" s="53" t="str">
        <f>B32</f>
        <v>Ryan Auger</v>
      </c>
      <c r="T12" s="53" t="str">
        <f>C32</f>
        <v>Cedar</v>
      </c>
    </row>
    <row r="13" spans="1:20" x14ac:dyDescent="0.25">
      <c r="A13" s="103"/>
      <c r="B13" s="110"/>
      <c r="C13" s="112"/>
      <c r="D13" s="80">
        <v>3</v>
      </c>
      <c r="E13" s="86" t="s">
        <v>72</v>
      </c>
      <c r="F13" s="82" t="str">
        <f>IF($E13="","",IF(ISNA(VLOOKUP($E13,DD!$A$2:$C$150,2,0)),"NO SUCH DIVE",VLOOKUP($E13,DD!$A$2:$C$150,2,0)))</f>
        <v>Front somersault tuck</v>
      </c>
      <c r="G13" s="80">
        <f>IF($E13="","",IF(ISNA(VLOOKUP($E13,DD!$A$2:$C$150,3,0)),"",VLOOKUP($E13,DD!$A$2:$C$150,3,0)))</f>
        <v>1.4</v>
      </c>
      <c r="H13" s="84">
        <v>6.5</v>
      </c>
      <c r="I13" s="84">
        <v>6.5</v>
      </c>
      <c r="J13" s="84">
        <v>5.5</v>
      </c>
      <c r="K13" s="84">
        <v>6</v>
      </c>
      <c r="L13" s="84">
        <v>5.5</v>
      </c>
      <c r="M13" s="81"/>
      <c r="N13" s="82">
        <f t="shared" si="0"/>
        <v>25.2</v>
      </c>
      <c r="O13" s="85">
        <f>IF(N13="",0,N13+O12)</f>
        <v>73.849999999999994</v>
      </c>
      <c r="R13" s="53">
        <f>O37+0.000012</f>
        <v>50.800011999999995</v>
      </c>
      <c r="S13" s="53" t="str">
        <f>B35</f>
        <v>Farbod Pahlavan</v>
      </c>
      <c r="T13" s="53" t="str">
        <f>C35</f>
        <v>BHILL</v>
      </c>
    </row>
    <row r="14" spans="1:20" x14ac:dyDescent="0.25">
      <c r="A14" s="97">
        <v>5</v>
      </c>
      <c r="B14" s="109" t="s">
        <v>393</v>
      </c>
      <c r="C14" s="111" t="s">
        <v>83</v>
      </c>
      <c r="D14" s="46">
        <v>1</v>
      </c>
      <c r="E14" s="50" t="s">
        <v>116</v>
      </c>
      <c r="F14" s="45" t="str">
        <f>IF($E14="","",IF(ISNA(VLOOKUP($E14,DD!$A$2:$C$150,2,0)),"NO SUCH DIVE",VLOOKUP($E14,DD!$A$2:$C$150,2,0)))</f>
        <v>Front dive layout</v>
      </c>
      <c r="G14" s="51">
        <f>IF($E14="","",IF(ISNA(VLOOKUP($E14,DD!$A$2:$C$150,3,0)),"",VLOOKUP($E14,DD!$A$2:$C$150,3,0)))</f>
        <v>1.3</v>
      </c>
      <c r="H14" s="52">
        <v>5</v>
      </c>
      <c r="I14" s="52">
        <v>5.5</v>
      </c>
      <c r="J14" s="52">
        <v>5.5</v>
      </c>
      <c r="K14" s="52">
        <v>5.5</v>
      </c>
      <c r="L14" s="52">
        <v>5</v>
      </c>
      <c r="M14" s="50"/>
      <c r="N14" s="45">
        <f t="shared" si="0"/>
        <v>20.8</v>
      </c>
      <c r="O14" s="45">
        <f>IF(N14="","",N14)</f>
        <v>20.8</v>
      </c>
      <c r="R14" s="53">
        <f>O40+0.000013</f>
        <v>53.450013000000006</v>
      </c>
      <c r="S14" s="53" t="str">
        <f>B38</f>
        <v>Finley Marchand</v>
      </c>
      <c r="T14" s="53" t="str">
        <f>C38</f>
        <v>Cedar</v>
      </c>
    </row>
    <row r="15" spans="1:20" x14ac:dyDescent="0.25">
      <c r="A15" s="97"/>
      <c r="B15" s="109"/>
      <c r="C15" s="111"/>
      <c r="D15" s="46">
        <v>2</v>
      </c>
      <c r="E15" s="50" t="s">
        <v>129</v>
      </c>
      <c r="F15" s="45" t="str">
        <f>IF($E15="","",IF(ISNA(VLOOKUP($E15,DD!$A$2:$C$150,2,0)),"NO SUCH DIVE",VLOOKUP($E15,DD!$A$2:$C$150,2,0)))</f>
        <v>Back fall in</v>
      </c>
      <c r="G15" s="51">
        <f>IF($E15="","",IF(ISNA(VLOOKUP($E15,DD!$A$2:$C$150,3,0)),"",VLOOKUP($E15,DD!$A$2:$C$150,3,0)))</f>
        <v>1</v>
      </c>
      <c r="H15" s="52">
        <v>4.5</v>
      </c>
      <c r="I15" s="52">
        <v>5</v>
      </c>
      <c r="J15" s="52">
        <v>4.5</v>
      </c>
      <c r="K15" s="52">
        <v>4.5</v>
      </c>
      <c r="L15" s="52">
        <v>5</v>
      </c>
      <c r="M15" s="50"/>
      <c r="N15" s="45">
        <f t="shared" si="0"/>
        <v>14</v>
      </c>
      <c r="O15" s="45">
        <f>IF(N15="","",N15+O14)</f>
        <v>34.799999999999997</v>
      </c>
      <c r="R15" s="53">
        <f>O43+0.000014</f>
        <v>37.700014000000003</v>
      </c>
      <c r="S15" s="53" t="str">
        <f>B41</f>
        <v>Zachary Sevigny</v>
      </c>
      <c r="T15" s="53" t="str">
        <f>C41</f>
        <v>Beau</v>
      </c>
    </row>
    <row r="16" spans="1:20" x14ac:dyDescent="0.25">
      <c r="A16" s="97"/>
      <c r="B16" s="109"/>
      <c r="C16" s="111"/>
      <c r="D16" s="46">
        <v>3</v>
      </c>
      <c r="E16" s="50" t="s">
        <v>120</v>
      </c>
      <c r="F16" s="45" t="str">
        <f>IF($E16="","",IF(ISNA(VLOOKUP($E16,DD!$A$2:$C$150,2,0)),"NO SUCH DIVE",VLOOKUP($E16,DD!$A$2:$C$150,2,0)))</f>
        <v>Back dive ½ twist layout</v>
      </c>
      <c r="G16" s="46">
        <f>IF($E16="","",IF(ISNA(VLOOKUP($E16,DD!$A$2:$C$150,3,0)),"",VLOOKUP($E16,DD!$A$2:$C$150,3,0)))</f>
        <v>1.4</v>
      </c>
      <c r="H16" s="52">
        <v>4.5</v>
      </c>
      <c r="I16" s="52">
        <v>4</v>
      </c>
      <c r="J16" s="52">
        <v>4.5</v>
      </c>
      <c r="K16" s="52">
        <v>4.5</v>
      </c>
      <c r="L16" s="52">
        <v>4.5</v>
      </c>
      <c r="M16" s="50"/>
      <c r="N16" s="45">
        <f t="shared" si="0"/>
        <v>18.899999999999999</v>
      </c>
      <c r="O16" s="54">
        <f>IF(N16="",0,N16+O15)</f>
        <v>53.699999999999996</v>
      </c>
      <c r="R16" s="53">
        <f>O46+0.000015</f>
        <v>35.600014999999999</v>
      </c>
      <c r="S16" s="53" t="str">
        <f>B44</f>
        <v>Henrik Brun</v>
      </c>
      <c r="T16" s="53" t="str">
        <f>C44</f>
        <v>SNVL</v>
      </c>
    </row>
    <row r="17" spans="1:20" x14ac:dyDescent="0.25">
      <c r="A17" s="103">
        <v>6</v>
      </c>
      <c r="B17" s="110" t="s">
        <v>394</v>
      </c>
      <c r="C17" s="112" t="s">
        <v>52</v>
      </c>
      <c r="D17" s="80">
        <v>1</v>
      </c>
      <c r="E17" s="81" t="s">
        <v>45</v>
      </c>
      <c r="F17" s="82" t="str">
        <f>IF($E17="","",IF(ISNA(VLOOKUP($E17,DD!$A$2:$C$150,2,0)),"NO SUCH DIVE",VLOOKUP($E17,DD!$A$2:$C$150,2,0)))</f>
        <v>Front jump tuck</v>
      </c>
      <c r="G17" s="83">
        <f>IF($E17="","",IF(ISNA(VLOOKUP($E17,DD!$A$2:$C$150,3,0)),"",VLOOKUP($E17,DD!$A$2:$C$150,3,0)))</f>
        <v>0.6</v>
      </c>
      <c r="H17" s="84">
        <v>6.5</v>
      </c>
      <c r="I17" s="84">
        <v>6</v>
      </c>
      <c r="J17" s="84">
        <v>7</v>
      </c>
      <c r="K17" s="84">
        <v>6</v>
      </c>
      <c r="L17" s="84">
        <v>6</v>
      </c>
      <c r="M17" s="81"/>
      <c r="N17" s="82">
        <f t="shared" si="0"/>
        <v>11.1</v>
      </c>
      <c r="O17" s="82">
        <f>IF(N17="","",N17)</f>
        <v>11.1</v>
      </c>
      <c r="R17" s="53">
        <f>O49+0.000016</f>
        <v>1.5999999999999999E-5</v>
      </c>
      <c r="S17" s="53">
        <f>B47</f>
        <v>0</v>
      </c>
      <c r="T17" s="53">
        <f>C47</f>
        <v>0</v>
      </c>
    </row>
    <row r="18" spans="1:20" x14ac:dyDescent="0.25">
      <c r="A18" s="103"/>
      <c r="B18" s="110"/>
      <c r="C18" s="112"/>
      <c r="D18" s="80">
        <v>2</v>
      </c>
      <c r="E18" s="86" t="s">
        <v>61</v>
      </c>
      <c r="F18" s="82" t="str">
        <f>IF($E18="","",IF(ISNA(VLOOKUP($E18,DD!$A$2:$C$150,2,0)),"NO SUCH DIVE",VLOOKUP($E18,DD!$A$2:$C$150,2,0)))</f>
        <v>Back jump tuck</v>
      </c>
      <c r="G18" s="83">
        <f>IF($E18="","",IF(ISNA(VLOOKUP($E18,DD!$A$2:$C$150,3,0)),"",VLOOKUP($E18,DD!$A$2:$C$150,3,0)))</f>
        <v>0.6</v>
      </c>
      <c r="H18" s="84">
        <v>2</v>
      </c>
      <c r="I18" s="84">
        <v>2</v>
      </c>
      <c r="J18" s="84">
        <v>2</v>
      </c>
      <c r="K18" s="84">
        <v>2</v>
      </c>
      <c r="L18" s="84">
        <v>2</v>
      </c>
      <c r="M18" s="81"/>
      <c r="N18" s="82">
        <f t="shared" si="0"/>
        <v>3.5999999999999996</v>
      </c>
      <c r="O18" s="82">
        <f>IF(N18="","",N18+O17)</f>
        <v>14.7</v>
      </c>
      <c r="R18" s="53">
        <f>O52+0.000017</f>
        <v>42.150017000000005</v>
      </c>
      <c r="S18" s="53" t="str">
        <f>B50</f>
        <v>Liam Wilds</v>
      </c>
      <c r="T18" s="53" t="str">
        <f>C50</f>
        <v>Val</v>
      </c>
    </row>
    <row r="19" spans="1:20" x14ac:dyDescent="0.25">
      <c r="A19" s="103"/>
      <c r="B19" s="110"/>
      <c r="C19" s="112"/>
      <c r="D19" s="80">
        <v>3</v>
      </c>
      <c r="E19" s="86" t="s">
        <v>54</v>
      </c>
      <c r="F19" s="82" t="str">
        <f>IF($E19="","",IF(ISNA(VLOOKUP($E19,DD!$A$2:$C$150,2,0)),"NO SUCH DIVE",VLOOKUP($E19,DD!$A$2:$C$150,2,0)))</f>
        <v>Front dive layout</v>
      </c>
      <c r="G19" s="80">
        <f>IF($E19="","",IF(ISNA(VLOOKUP($E19,DD!$A$2:$C$150,3,0)),"",VLOOKUP($E19,DD!$A$2:$C$150,3,0)))</f>
        <v>1.3</v>
      </c>
      <c r="H19" s="84">
        <v>4.5</v>
      </c>
      <c r="I19" s="84">
        <v>5</v>
      </c>
      <c r="J19" s="84">
        <v>5</v>
      </c>
      <c r="K19" s="84">
        <v>5.5</v>
      </c>
      <c r="L19" s="84">
        <v>5.5</v>
      </c>
      <c r="M19" s="81"/>
      <c r="N19" s="82">
        <f t="shared" si="0"/>
        <v>20.150000000000002</v>
      </c>
      <c r="O19" s="85">
        <f>IF(N19="",0,N19+O18)</f>
        <v>34.85</v>
      </c>
      <c r="R19" s="53">
        <f>O55+0.000018</f>
        <v>41.700018</v>
      </c>
      <c r="S19" s="53" t="str">
        <f>B53</f>
        <v>Logan Myles</v>
      </c>
      <c r="T19" s="53" t="str">
        <f>C53</f>
        <v>VIK</v>
      </c>
    </row>
    <row r="20" spans="1:20" x14ac:dyDescent="0.25">
      <c r="A20" s="97">
        <v>7</v>
      </c>
      <c r="B20" s="109" t="s">
        <v>395</v>
      </c>
      <c r="C20" s="111" t="s">
        <v>52</v>
      </c>
      <c r="D20" s="46">
        <v>1</v>
      </c>
      <c r="E20" s="50" t="s">
        <v>89</v>
      </c>
      <c r="F20" s="45" t="str">
        <f>IF($E20="","",IF(ISNA(VLOOKUP($E20,DD!$A$2:$C$150,2,0)),"NO SUCH DIVE",VLOOKUP($E20,DD!$A$2:$C$150,2,0)))</f>
        <v>Front dive tuck</v>
      </c>
      <c r="G20" s="51">
        <f>IF($E20="","",IF(ISNA(VLOOKUP($E20,DD!$A$2:$C$150,3,0)),"",VLOOKUP($E20,DD!$A$2:$C$150,3,0)))</f>
        <v>1.3</v>
      </c>
      <c r="H20" s="52">
        <v>6</v>
      </c>
      <c r="I20" s="52">
        <v>5.5</v>
      </c>
      <c r="J20" s="52">
        <v>6</v>
      </c>
      <c r="K20" s="52">
        <v>5</v>
      </c>
      <c r="L20" s="52">
        <v>6</v>
      </c>
      <c r="M20" s="50"/>
      <c r="N20" s="45">
        <f t="shared" si="0"/>
        <v>22.75</v>
      </c>
      <c r="O20" s="45">
        <f>IF(N20="","",N20)</f>
        <v>22.75</v>
      </c>
      <c r="R20" s="53">
        <f>O58+0.000019</f>
        <v>46.750019000000002</v>
      </c>
      <c r="S20" s="53" t="str">
        <f>B56</f>
        <v>Luke Auger</v>
      </c>
      <c r="T20" s="53" t="str">
        <f>C56</f>
        <v>Cedar</v>
      </c>
    </row>
    <row r="21" spans="1:20" x14ac:dyDescent="0.25">
      <c r="A21" s="97"/>
      <c r="B21" s="109"/>
      <c r="C21" s="111"/>
      <c r="D21" s="46">
        <v>2</v>
      </c>
      <c r="E21" s="50" t="s">
        <v>46</v>
      </c>
      <c r="F21" s="45" t="str">
        <f>IF($E21="","",IF(ISNA(VLOOKUP($E21,DD!$A$2:$C$150,2,0)),"NO SUCH DIVE",VLOOKUP($E21,DD!$A$2:$C$150,2,0)))</f>
        <v>Back fall in</v>
      </c>
      <c r="G21" s="51">
        <f>IF($E21="","",IF(ISNA(VLOOKUP($E21,DD!$A$2:$C$150,3,0)),"",VLOOKUP($E21,DD!$A$2:$C$150,3,0)))</f>
        <v>1</v>
      </c>
      <c r="H21" s="52">
        <v>5.5</v>
      </c>
      <c r="I21" s="52">
        <v>6</v>
      </c>
      <c r="J21" s="52">
        <v>5.5</v>
      </c>
      <c r="K21" s="52">
        <v>5.5</v>
      </c>
      <c r="L21" s="52">
        <v>6</v>
      </c>
      <c r="M21" s="50"/>
      <c r="N21" s="45">
        <f t="shared" si="0"/>
        <v>17</v>
      </c>
      <c r="O21" s="45">
        <f>IF(N21="","",N21+O20)</f>
        <v>39.75</v>
      </c>
      <c r="R21" s="53">
        <f>O61+0.00002</f>
        <v>33.900019999999998</v>
      </c>
      <c r="S21" s="53" t="str">
        <f>B59</f>
        <v>Louis Dubois</v>
      </c>
      <c r="T21" s="53" t="str">
        <f>C59</f>
        <v>VIK</v>
      </c>
    </row>
    <row r="22" spans="1:20" x14ac:dyDescent="0.25">
      <c r="A22" s="97"/>
      <c r="B22" s="109"/>
      <c r="C22" s="111"/>
      <c r="D22" s="46">
        <v>3</v>
      </c>
      <c r="E22" s="50" t="s">
        <v>45</v>
      </c>
      <c r="F22" s="45" t="str">
        <f>IF($E22="","",IF(ISNA(VLOOKUP($E22,DD!$A$2:$C$150,2,0)),"NO SUCH DIVE",VLOOKUP($E22,DD!$A$2:$C$150,2,0)))</f>
        <v>Front jump tuck</v>
      </c>
      <c r="G22" s="46">
        <f>IF($E22="","",IF(ISNA(VLOOKUP($E22,DD!$A$2:$C$150,3,0)),"",VLOOKUP($E22,DD!$A$2:$C$150,3,0)))</f>
        <v>0.6</v>
      </c>
      <c r="H22" s="52">
        <v>5.5</v>
      </c>
      <c r="I22" s="52">
        <v>6</v>
      </c>
      <c r="J22" s="52">
        <v>6.5</v>
      </c>
      <c r="K22" s="52">
        <v>6</v>
      </c>
      <c r="L22" s="52">
        <v>6.5</v>
      </c>
      <c r="M22" s="50"/>
      <c r="N22" s="45">
        <f t="shared" si="0"/>
        <v>11.1</v>
      </c>
      <c r="O22" s="54">
        <f>IF(N22="",0,N22+O21)</f>
        <v>50.85</v>
      </c>
      <c r="R22" s="53">
        <f>O64+0.000021</f>
        <v>43.950021</v>
      </c>
      <c r="S22" s="53" t="str">
        <f>B62</f>
        <v>Malcolm Hillier</v>
      </c>
      <c r="T22" s="53" t="str">
        <f>C62</f>
        <v>Cedar</v>
      </c>
    </row>
    <row r="23" spans="1:20" x14ac:dyDescent="0.25">
      <c r="A23" s="103">
        <v>8</v>
      </c>
      <c r="B23" s="110" t="s">
        <v>396</v>
      </c>
      <c r="C23" s="112" t="s">
        <v>52</v>
      </c>
      <c r="D23" s="80">
        <v>1</v>
      </c>
      <c r="E23" s="81" t="s">
        <v>63</v>
      </c>
      <c r="F23" s="82" t="str">
        <f>IF($E23="","",IF(ISNA(VLOOKUP($E23,DD!$A$2:$C$150,2,0)),"NO SUCH DIVE",VLOOKUP($E23,DD!$A$2:$C$150,2,0)))</f>
        <v>Front jump layout</v>
      </c>
      <c r="G23" s="83">
        <f>IF($E23="","",IF(ISNA(VLOOKUP($E23,DD!$A$2:$C$150,3,0)),"",VLOOKUP($E23,DD!$A$2:$C$150,3,0)))</f>
        <v>0.5</v>
      </c>
      <c r="H23" s="84">
        <v>6</v>
      </c>
      <c r="I23" s="84">
        <v>5.5</v>
      </c>
      <c r="J23" s="84">
        <v>5.5</v>
      </c>
      <c r="K23" s="84">
        <v>5.5</v>
      </c>
      <c r="L23" s="84">
        <v>6</v>
      </c>
      <c r="M23" s="81"/>
      <c r="N23" s="82">
        <f t="shared" si="0"/>
        <v>8.5</v>
      </c>
      <c r="O23" s="82">
        <f>IF(N23="","",N23)</f>
        <v>8.5</v>
      </c>
      <c r="R23" s="53">
        <f>O67+0.000022</f>
        <v>43.250022000000001</v>
      </c>
      <c r="S23" s="53" t="str">
        <f>B65</f>
        <v>Nathan Ip</v>
      </c>
      <c r="T23" s="53" t="str">
        <f>C65</f>
        <v>HCP</v>
      </c>
    </row>
    <row r="24" spans="1:20" x14ac:dyDescent="0.25">
      <c r="A24" s="103"/>
      <c r="B24" s="110"/>
      <c r="C24" s="112"/>
      <c r="D24" s="80">
        <v>2</v>
      </c>
      <c r="E24" s="86" t="s">
        <v>50</v>
      </c>
      <c r="F24" s="82" t="str">
        <f>IF($E24="","",IF(ISNA(VLOOKUP($E24,DD!$A$2:$C$150,2,0)),"NO SUCH DIVE",VLOOKUP($E24,DD!$A$2:$C$150,2,0)))</f>
        <v>Back jump layout</v>
      </c>
      <c r="G24" s="83">
        <f>IF($E24="","",IF(ISNA(VLOOKUP($E24,DD!$A$2:$C$150,3,0)),"",VLOOKUP($E24,DD!$A$2:$C$150,3,0)))</f>
        <v>0.5</v>
      </c>
      <c r="H24" s="84">
        <v>5</v>
      </c>
      <c r="I24" s="84">
        <v>5</v>
      </c>
      <c r="J24" s="84">
        <v>5</v>
      </c>
      <c r="K24" s="84">
        <v>5</v>
      </c>
      <c r="L24" s="84">
        <v>5</v>
      </c>
      <c r="M24" s="81"/>
      <c r="N24" s="82">
        <f t="shared" si="0"/>
        <v>7.5</v>
      </c>
      <c r="O24" s="82">
        <f>IF(N24="","",N24+O23)</f>
        <v>16</v>
      </c>
      <c r="R24" s="53">
        <f>O70+0.000023</f>
        <v>54.200023000000002</v>
      </c>
      <c r="S24" s="53" t="str">
        <f>B68</f>
        <v>Noah Akrivos</v>
      </c>
      <c r="T24" s="53" t="str">
        <f>C68</f>
        <v>WLRC</v>
      </c>
    </row>
    <row r="25" spans="1:20" x14ac:dyDescent="0.25">
      <c r="A25" s="103"/>
      <c r="B25" s="110"/>
      <c r="C25" s="112"/>
      <c r="D25" s="80">
        <v>3</v>
      </c>
      <c r="E25" s="86" t="s">
        <v>54</v>
      </c>
      <c r="F25" s="82" t="str">
        <f>IF($E25="","",IF(ISNA(VLOOKUP($E25,DD!$A$2:$C$150,2,0)),"NO SUCH DIVE",VLOOKUP($E25,DD!$A$2:$C$150,2,0)))</f>
        <v>Front dive layout</v>
      </c>
      <c r="G25" s="80">
        <f>IF($E25="","",IF(ISNA(VLOOKUP($E25,DD!$A$2:$C$150,3,0)),"",VLOOKUP($E25,DD!$A$2:$C$150,3,0)))</f>
        <v>1.3</v>
      </c>
      <c r="H25" s="84">
        <v>4.5</v>
      </c>
      <c r="I25" s="84">
        <v>4</v>
      </c>
      <c r="J25" s="84">
        <v>5</v>
      </c>
      <c r="K25" s="84">
        <v>5</v>
      </c>
      <c r="L25" s="84">
        <v>4.5</v>
      </c>
      <c r="M25" s="81"/>
      <c r="N25" s="82">
        <f t="shared" si="0"/>
        <v>18.2</v>
      </c>
      <c r="O25" s="85">
        <f>IF(N25="",0,N25+O24)</f>
        <v>34.200000000000003</v>
      </c>
      <c r="R25" s="53">
        <f>O73+0.000024</f>
        <v>40.350024000000005</v>
      </c>
      <c r="S25" s="53" t="str">
        <f>B71</f>
        <v>Oliver Sevigny</v>
      </c>
      <c r="T25" s="53" t="str">
        <f>C71</f>
        <v>Beau</v>
      </c>
    </row>
    <row r="26" spans="1:20" x14ac:dyDescent="0.25">
      <c r="A26" s="97">
        <v>9</v>
      </c>
      <c r="B26" s="109" t="s">
        <v>397</v>
      </c>
      <c r="C26" s="111" t="s">
        <v>49</v>
      </c>
      <c r="D26" s="46">
        <v>1</v>
      </c>
      <c r="E26" s="50" t="s">
        <v>86</v>
      </c>
      <c r="F26" s="45" t="str">
        <f>IF($E26="","",IF(ISNA(VLOOKUP($E26,DD!$A$2:$C$150,2,0)),"NO SUCH DIVE",VLOOKUP($E26,DD!$A$2:$C$150,2,0)))</f>
        <v>Front jump tuck</v>
      </c>
      <c r="G26" s="51">
        <f>IF($E26="","",IF(ISNA(VLOOKUP($E26,DD!$A$2:$C$150,3,0)),"",VLOOKUP($E26,DD!$A$2:$C$150,3,0)))</f>
        <v>0.6</v>
      </c>
      <c r="H26" s="52">
        <v>6</v>
      </c>
      <c r="I26" s="52">
        <v>6</v>
      </c>
      <c r="J26" s="52">
        <v>6</v>
      </c>
      <c r="K26" s="52">
        <v>5.5</v>
      </c>
      <c r="L26" s="52">
        <v>6</v>
      </c>
      <c r="M26" s="50"/>
      <c r="N26" s="45">
        <f t="shared" si="0"/>
        <v>10.799999999999999</v>
      </c>
      <c r="O26" s="45">
        <f>IF(N26="","",N26)</f>
        <v>10.799999999999999</v>
      </c>
      <c r="R26" s="53">
        <v>0</v>
      </c>
    </row>
    <row r="27" spans="1:20" x14ac:dyDescent="0.25">
      <c r="A27" s="97"/>
      <c r="B27" s="109"/>
      <c r="C27" s="111"/>
      <c r="D27" s="46">
        <v>2</v>
      </c>
      <c r="E27" s="50" t="s">
        <v>225</v>
      </c>
      <c r="F27" s="45" t="str">
        <f>IF($E27="","",IF(ISNA(VLOOKUP($E27,DD!$A$2:$C$150,2,0)),"NO SUCH DIVE",VLOOKUP($E27,DD!$A$2:$C$150,2,0)))</f>
        <v>Back jump layout</v>
      </c>
      <c r="G27" s="51">
        <f>IF($E27="","",IF(ISNA(VLOOKUP($E27,DD!$A$2:$C$150,3,0)),"",VLOOKUP($E27,DD!$A$2:$C$150,3,0)))</f>
        <v>0.5</v>
      </c>
      <c r="H27" s="52">
        <v>5.5</v>
      </c>
      <c r="I27" s="52">
        <v>6</v>
      </c>
      <c r="J27" s="52">
        <v>6</v>
      </c>
      <c r="K27" s="52">
        <v>6</v>
      </c>
      <c r="L27" s="52">
        <v>6</v>
      </c>
      <c r="M27" s="50"/>
      <c r="N27" s="45">
        <f t="shared" si="0"/>
        <v>9</v>
      </c>
      <c r="O27" s="45">
        <f>IF(N27="","",N27+O26)</f>
        <v>19.799999999999997</v>
      </c>
    </row>
    <row r="28" spans="1:20" x14ac:dyDescent="0.25">
      <c r="A28" s="97"/>
      <c r="B28" s="109"/>
      <c r="C28" s="111"/>
      <c r="D28" s="46">
        <v>3</v>
      </c>
      <c r="E28" s="50" t="s">
        <v>116</v>
      </c>
      <c r="F28" s="45" t="str">
        <f>IF($E28="","",IF(ISNA(VLOOKUP($E28,DD!$A$2:$C$150,2,0)),"NO SUCH DIVE",VLOOKUP($E28,DD!$A$2:$C$150,2,0)))</f>
        <v>Front dive layout</v>
      </c>
      <c r="G28" s="46">
        <f>IF($E28="","",IF(ISNA(VLOOKUP($E28,DD!$A$2:$C$150,3,0)),"",VLOOKUP($E28,DD!$A$2:$C$150,3,0)))</f>
        <v>1.3</v>
      </c>
      <c r="H28" s="52">
        <v>4.5</v>
      </c>
      <c r="I28" s="52">
        <v>4.5</v>
      </c>
      <c r="J28" s="52">
        <v>5.5</v>
      </c>
      <c r="K28" s="52">
        <v>5</v>
      </c>
      <c r="L28" s="52">
        <v>5</v>
      </c>
      <c r="M28" s="50"/>
      <c r="N28" s="45">
        <f t="shared" si="0"/>
        <v>18.850000000000001</v>
      </c>
      <c r="O28" s="54">
        <f>IF(N28="",0,N28+O27)</f>
        <v>38.65</v>
      </c>
    </row>
    <row r="29" spans="1:20" x14ac:dyDescent="0.25">
      <c r="A29" s="103">
        <v>10</v>
      </c>
      <c r="B29" s="110" t="s">
        <v>398</v>
      </c>
      <c r="C29" s="112" t="s">
        <v>388</v>
      </c>
      <c r="D29" s="80">
        <v>1</v>
      </c>
      <c r="E29" s="81" t="s">
        <v>45</v>
      </c>
      <c r="F29" s="82" t="str">
        <f>IF($E29="","",IF(ISNA(VLOOKUP($E29,DD!$A$2:$C$150,2,0)),"NO SUCH DIVE",VLOOKUP($E29,DD!$A$2:$C$150,2,0)))</f>
        <v>Front jump tuck</v>
      </c>
      <c r="G29" s="83">
        <f>IF($E29="","",IF(ISNA(VLOOKUP($E29,DD!$A$2:$C$150,3,0)),"",VLOOKUP($E29,DD!$A$2:$C$150,3,0)))</f>
        <v>0.6</v>
      </c>
      <c r="H29" s="84">
        <v>6</v>
      </c>
      <c r="I29" s="84">
        <v>5</v>
      </c>
      <c r="J29" s="84">
        <v>5.5</v>
      </c>
      <c r="K29" s="84">
        <v>5.5</v>
      </c>
      <c r="L29" s="84">
        <v>6</v>
      </c>
      <c r="M29" s="81"/>
      <c r="N29" s="82">
        <f t="shared" si="0"/>
        <v>10.199999999999999</v>
      </c>
      <c r="O29" s="82">
        <f>IF(N29="","",N29)</f>
        <v>10.199999999999999</v>
      </c>
    </row>
    <row r="30" spans="1:20" x14ac:dyDescent="0.25">
      <c r="A30" s="103"/>
      <c r="B30" s="110"/>
      <c r="C30" s="112"/>
      <c r="D30" s="80">
        <v>2</v>
      </c>
      <c r="E30" s="86" t="s">
        <v>64</v>
      </c>
      <c r="F30" s="82" t="str">
        <f>IF($E30="","",IF(ISNA(VLOOKUP($E30,DD!$A$2:$C$150,2,0)),"NO SUCH DIVE",VLOOKUP($E30,DD!$A$2:$C$150,2,0)))</f>
        <v>Back dive ½ twist layout</v>
      </c>
      <c r="G30" s="83">
        <f>IF($E30="","",IF(ISNA(VLOOKUP($E30,DD!$A$2:$C$150,3,0)),"",VLOOKUP($E30,DD!$A$2:$C$150,3,0)))</f>
        <v>1.4</v>
      </c>
      <c r="H30" s="84">
        <v>4.5</v>
      </c>
      <c r="I30" s="84">
        <v>4.5</v>
      </c>
      <c r="J30" s="84">
        <v>4.5</v>
      </c>
      <c r="K30" s="84">
        <v>4</v>
      </c>
      <c r="L30" s="84">
        <v>4.5</v>
      </c>
      <c r="M30" s="81"/>
      <c r="N30" s="82">
        <f t="shared" si="0"/>
        <v>18.899999999999999</v>
      </c>
      <c r="O30" s="82">
        <f>IF(N30="","",N30+O29)</f>
        <v>29.099999999999998</v>
      </c>
    </row>
    <row r="31" spans="1:20" x14ac:dyDescent="0.25">
      <c r="A31" s="103"/>
      <c r="B31" s="110"/>
      <c r="C31" s="112"/>
      <c r="D31" s="80">
        <v>3</v>
      </c>
      <c r="E31" s="86" t="s">
        <v>54</v>
      </c>
      <c r="F31" s="82" t="str">
        <f>IF($E31="","",IF(ISNA(VLOOKUP($E31,DD!$A$2:$C$150,2,0)),"NO SUCH DIVE",VLOOKUP($E31,DD!$A$2:$C$150,2,0)))</f>
        <v>Front dive layout</v>
      </c>
      <c r="G31" s="80">
        <f>IF($E31="","",IF(ISNA(VLOOKUP($E31,DD!$A$2:$C$150,3,0)),"",VLOOKUP($E31,DD!$A$2:$C$150,3,0)))</f>
        <v>1.3</v>
      </c>
      <c r="H31" s="84">
        <v>5.5</v>
      </c>
      <c r="I31" s="84">
        <v>5</v>
      </c>
      <c r="J31" s="84">
        <v>5</v>
      </c>
      <c r="K31" s="84">
        <v>5</v>
      </c>
      <c r="L31" s="84">
        <v>5</v>
      </c>
      <c r="M31" s="81"/>
      <c r="N31" s="82">
        <f t="shared" si="0"/>
        <v>19.5</v>
      </c>
      <c r="O31" s="85">
        <f>IF(N31="",0,N31+O30)</f>
        <v>48.599999999999994</v>
      </c>
    </row>
    <row r="32" spans="1:20" x14ac:dyDescent="0.25">
      <c r="A32" s="97">
        <v>11</v>
      </c>
      <c r="B32" s="109" t="s">
        <v>399</v>
      </c>
      <c r="C32" s="111" t="s">
        <v>57</v>
      </c>
      <c r="D32" s="46">
        <v>1</v>
      </c>
      <c r="E32" s="50" t="s">
        <v>45</v>
      </c>
      <c r="F32" s="45" t="str">
        <f>IF($E32="","",IF(ISNA(VLOOKUP($E32,DD!$A$2:$C$150,2,0)),"NO SUCH DIVE",VLOOKUP($E32,DD!$A$2:$C$150,2,0)))</f>
        <v>Front jump tuck</v>
      </c>
      <c r="G32" s="51">
        <f>IF($E32="","",IF(ISNA(VLOOKUP($E32,DD!$A$2:$C$150,3,0)),"",VLOOKUP($E32,DD!$A$2:$C$150,3,0)))</f>
        <v>0.6</v>
      </c>
      <c r="H32" s="52">
        <v>6</v>
      </c>
      <c r="I32" s="52">
        <v>5.5</v>
      </c>
      <c r="J32" s="52">
        <v>6</v>
      </c>
      <c r="K32" s="52">
        <v>5.5</v>
      </c>
      <c r="L32" s="52">
        <v>5</v>
      </c>
      <c r="M32" s="50"/>
      <c r="N32" s="45">
        <f t="shared" si="0"/>
        <v>10.199999999999999</v>
      </c>
      <c r="O32" s="45">
        <f>IF(N32="","",N32)</f>
        <v>10.199999999999999</v>
      </c>
    </row>
    <row r="33" spans="1:15" x14ac:dyDescent="0.25">
      <c r="A33" s="97"/>
      <c r="B33" s="109"/>
      <c r="C33" s="111"/>
      <c r="D33" s="46">
        <v>2</v>
      </c>
      <c r="E33" s="50" t="s">
        <v>50</v>
      </c>
      <c r="F33" s="45" t="str">
        <f>IF($E33="","",IF(ISNA(VLOOKUP($E33,DD!$A$2:$C$150,2,0)),"NO SUCH DIVE",VLOOKUP($E33,DD!$A$2:$C$150,2,0)))</f>
        <v>Back jump layout</v>
      </c>
      <c r="G33" s="51">
        <f>IF($E33="","",IF(ISNA(VLOOKUP($E33,DD!$A$2:$C$150,3,0)),"",VLOOKUP($E33,DD!$A$2:$C$150,3,0)))</f>
        <v>0.5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0"/>
      <c r="N33" s="45">
        <f t="shared" si="0"/>
        <v>1.5</v>
      </c>
      <c r="O33" s="45">
        <f>IF(N33="","",N33+O32)</f>
        <v>11.7</v>
      </c>
    </row>
    <row r="34" spans="1:15" x14ac:dyDescent="0.25">
      <c r="A34" s="97"/>
      <c r="B34" s="109"/>
      <c r="C34" s="111"/>
      <c r="D34" s="46">
        <v>3</v>
      </c>
      <c r="E34" s="50" t="s">
        <v>47</v>
      </c>
      <c r="F34" s="45" t="str">
        <f>IF($E34="","",IF(ISNA(VLOOKUP($E34,DD!$A$2:$C$150,2,0)),"NO SUCH DIVE",VLOOKUP($E34,DD!$A$2:$C$150,2,0)))</f>
        <v>Front fall-in</v>
      </c>
      <c r="G34" s="46">
        <f>IF($E34="","",IF(ISNA(VLOOKUP($E34,DD!$A$2:$C$150,3,0)),"",VLOOKUP($E34,DD!$A$2:$C$150,3,0)))</f>
        <v>1</v>
      </c>
      <c r="H34" s="52">
        <v>5.5</v>
      </c>
      <c r="I34" s="52">
        <v>5.5</v>
      </c>
      <c r="J34" s="52">
        <v>5.5</v>
      </c>
      <c r="K34" s="52">
        <v>5.5</v>
      </c>
      <c r="L34" s="52">
        <v>5.5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16.5</v>
      </c>
      <c r="O34" s="54">
        <f>IF(N34="",0,N34+O33)</f>
        <v>28.2</v>
      </c>
    </row>
    <row r="35" spans="1:15" x14ac:dyDescent="0.25">
      <c r="A35" s="103">
        <v>12</v>
      </c>
      <c r="B35" s="110" t="s">
        <v>400</v>
      </c>
      <c r="C35" s="112" t="s">
        <v>83</v>
      </c>
      <c r="D35" s="80">
        <v>1</v>
      </c>
      <c r="E35" s="81" t="s">
        <v>86</v>
      </c>
      <c r="F35" s="82" t="str">
        <f>IF($E35="","",IF(ISNA(VLOOKUP($E35,DD!$A$2:$C$150,2,0)),"NO SUCH DIVE",VLOOKUP($E35,DD!$A$2:$C$150,2,0)))</f>
        <v>Front jump tuck</v>
      </c>
      <c r="G35" s="83">
        <f>IF($E35="","",IF(ISNA(VLOOKUP($E35,DD!$A$2:$C$150,3,0)),"",VLOOKUP($E35,DD!$A$2:$C$150,3,0)))</f>
        <v>0.6</v>
      </c>
      <c r="H35" s="84">
        <v>7</v>
      </c>
      <c r="I35" s="84">
        <v>6.5</v>
      </c>
      <c r="J35" s="84">
        <v>6.5</v>
      </c>
      <c r="K35" s="84">
        <v>6.5</v>
      </c>
      <c r="L35" s="84">
        <v>7</v>
      </c>
      <c r="M35" s="81"/>
      <c r="N35" s="82">
        <f t="shared" si="1"/>
        <v>12</v>
      </c>
      <c r="O35" s="82">
        <f>IF(N35="","",N35)</f>
        <v>12</v>
      </c>
    </row>
    <row r="36" spans="1:15" x14ac:dyDescent="0.25">
      <c r="A36" s="103"/>
      <c r="B36" s="110"/>
      <c r="C36" s="112"/>
      <c r="D36" s="80">
        <v>2</v>
      </c>
      <c r="E36" s="86" t="s">
        <v>129</v>
      </c>
      <c r="F36" s="82" t="str">
        <f>IF($E36="","",IF(ISNA(VLOOKUP($E36,DD!$A$2:$C$150,2,0)),"NO SUCH DIVE",VLOOKUP($E36,DD!$A$2:$C$150,2,0)))</f>
        <v>Back fall in</v>
      </c>
      <c r="G36" s="83">
        <f>IF($E36="","",IF(ISNA(VLOOKUP($E36,DD!$A$2:$C$150,3,0)),"",VLOOKUP($E36,DD!$A$2:$C$150,3,0)))</f>
        <v>1</v>
      </c>
      <c r="H36" s="84">
        <v>6</v>
      </c>
      <c r="I36" s="84">
        <v>6</v>
      </c>
      <c r="J36" s="84">
        <v>6</v>
      </c>
      <c r="K36" s="84">
        <v>5.5</v>
      </c>
      <c r="L36" s="84">
        <v>6</v>
      </c>
      <c r="M36" s="81"/>
      <c r="N36" s="82">
        <f t="shared" si="1"/>
        <v>18</v>
      </c>
      <c r="O36" s="82">
        <f>IF(N36="","",N36+O35)</f>
        <v>30</v>
      </c>
    </row>
    <row r="37" spans="1:15" x14ac:dyDescent="0.25">
      <c r="A37" s="103"/>
      <c r="B37" s="110"/>
      <c r="C37" s="112"/>
      <c r="D37" s="80">
        <v>3</v>
      </c>
      <c r="E37" s="86" t="s">
        <v>116</v>
      </c>
      <c r="F37" s="82" t="str">
        <f>IF($E37="","",IF(ISNA(VLOOKUP($E37,DD!$A$2:$C$150,2,0)),"NO SUCH DIVE",VLOOKUP($E37,DD!$A$2:$C$150,2,0)))</f>
        <v>Front dive layout</v>
      </c>
      <c r="G37" s="80">
        <f>IF($E37="","",IF(ISNA(VLOOKUP($E37,DD!$A$2:$C$150,3,0)),"",VLOOKUP($E37,DD!$A$2:$C$150,3,0)))</f>
        <v>1.3</v>
      </c>
      <c r="H37" s="84">
        <v>5.5</v>
      </c>
      <c r="I37" s="84">
        <v>5</v>
      </c>
      <c r="J37" s="84">
        <v>6</v>
      </c>
      <c r="K37" s="84">
        <v>5</v>
      </c>
      <c r="L37" s="84">
        <v>5.5</v>
      </c>
      <c r="M37" s="81"/>
      <c r="N37" s="82">
        <f t="shared" si="1"/>
        <v>20.8</v>
      </c>
      <c r="O37" s="85">
        <f>IF(N37="",0,N37+O36)</f>
        <v>50.8</v>
      </c>
    </row>
    <row r="38" spans="1:15" x14ac:dyDescent="0.25">
      <c r="A38" s="97">
        <v>13</v>
      </c>
      <c r="B38" s="109" t="s">
        <v>401</v>
      </c>
      <c r="C38" s="111" t="s">
        <v>57</v>
      </c>
      <c r="D38" s="46">
        <v>1</v>
      </c>
      <c r="E38" s="50" t="s">
        <v>54</v>
      </c>
      <c r="F38" s="45" t="str">
        <f>IF($E38="","",IF(ISNA(VLOOKUP($E38,DD!$A$2:$C$150,2,0)),"NO SUCH DIVE",VLOOKUP($E38,DD!$A$2:$C$150,2,0)))</f>
        <v>Front dive layout</v>
      </c>
      <c r="G38" s="51">
        <f>IF($E38="","",IF(ISNA(VLOOKUP($E38,DD!$A$2:$C$150,3,0)),"",VLOOKUP($E38,DD!$A$2:$C$150,3,0)))</f>
        <v>1.3</v>
      </c>
      <c r="H38" s="52">
        <v>4.5</v>
      </c>
      <c r="I38" s="52">
        <v>5</v>
      </c>
      <c r="J38" s="52">
        <v>5.5</v>
      </c>
      <c r="K38" s="52">
        <v>5</v>
      </c>
      <c r="L38" s="52">
        <v>5</v>
      </c>
      <c r="M38" s="50"/>
      <c r="N38" s="45">
        <f t="shared" si="1"/>
        <v>19.5</v>
      </c>
      <c r="O38" s="45">
        <f>IF(N38="","",N38)</f>
        <v>19.5</v>
      </c>
    </row>
    <row r="39" spans="1:15" x14ac:dyDescent="0.25">
      <c r="A39" s="97"/>
      <c r="B39" s="109"/>
      <c r="C39" s="111"/>
      <c r="D39" s="46">
        <v>2</v>
      </c>
      <c r="E39" s="50" t="s">
        <v>50</v>
      </c>
      <c r="F39" s="45" t="str">
        <f>IF($E39="","",IF(ISNA(VLOOKUP($E39,DD!$A$2:$C$150,2,0)),"NO SUCH DIVE",VLOOKUP($E39,DD!$A$2:$C$150,2,0)))</f>
        <v>Back jump layout</v>
      </c>
      <c r="G39" s="51">
        <f>IF($E39="","",IF(ISNA(VLOOKUP($E39,DD!$A$2:$C$150,3,0)),"",VLOOKUP($E39,DD!$A$2:$C$150,3,0)))</f>
        <v>0.5</v>
      </c>
      <c r="H39" s="52">
        <v>6</v>
      </c>
      <c r="I39" s="52">
        <v>6</v>
      </c>
      <c r="J39" s="52">
        <v>5.5</v>
      </c>
      <c r="K39" s="52">
        <v>5.5</v>
      </c>
      <c r="L39" s="52">
        <v>6</v>
      </c>
      <c r="M39" s="50"/>
      <c r="N39" s="45">
        <f t="shared" si="1"/>
        <v>8.75</v>
      </c>
      <c r="O39" s="45">
        <f>IF(N39="","",N39+O38)</f>
        <v>28.25</v>
      </c>
    </row>
    <row r="40" spans="1:15" x14ac:dyDescent="0.25">
      <c r="A40" s="97"/>
      <c r="B40" s="109"/>
      <c r="C40" s="111"/>
      <c r="D40" s="46">
        <v>3</v>
      </c>
      <c r="E40" s="50" t="s">
        <v>72</v>
      </c>
      <c r="F40" s="45" t="str">
        <f>IF($E40="","",IF(ISNA(VLOOKUP($E40,DD!$A$2:$C$150,2,0)),"NO SUCH DIVE",VLOOKUP($E40,DD!$A$2:$C$150,2,0)))</f>
        <v>Front somersault tuck</v>
      </c>
      <c r="G40" s="46">
        <f>IF($E40="","",IF(ISNA(VLOOKUP($E40,DD!$A$2:$C$150,3,0)),"",VLOOKUP($E40,DD!$A$2:$C$150,3,0)))</f>
        <v>1.4</v>
      </c>
      <c r="H40" s="52">
        <v>5.5</v>
      </c>
      <c r="I40" s="52">
        <v>6</v>
      </c>
      <c r="J40" s="52">
        <v>6</v>
      </c>
      <c r="K40" s="52">
        <v>6</v>
      </c>
      <c r="L40" s="52">
        <v>6</v>
      </c>
      <c r="M40" s="50"/>
      <c r="N40" s="45">
        <f t="shared" si="1"/>
        <v>25.2</v>
      </c>
      <c r="O40" s="54">
        <f>IF(N40="",0,N40+O39)</f>
        <v>53.45</v>
      </c>
    </row>
    <row r="41" spans="1:15" x14ac:dyDescent="0.25">
      <c r="A41" s="103">
        <v>14</v>
      </c>
      <c r="B41" s="110" t="s">
        <v>402</v>
      </c>
      <c r="C41" s="112" t="s">
        <v>388</v>
      </c>
      <c r="D41" s="80">
        <v>1</v>
      </c>
      <c r="E41" s="81" t="s">
        <v>63</v>
      </c>
      <c r="F41" s="82" t="str">
        <f>IF($E41="","",IF(ISNA(VLOOKUP($E41,DD!$A$2:$C$150,2,0)),"NO SUCH DIVE",VLOOKUP($E41,DD!$A$2:$C$150,2,0)))</f>
        <v>Front jump layout</v>
      </c>
      <c r="G41" s="83">
        <f>IF($E41="","",IF(ISNA(VLOOKUP($E41,DD!$A$2:$C$150,3,0)),"",VLOOKUP($E41,DD!$A$2:$C$150,3,0)))</f>
        <v>0.5</v>
      </c>
      <c r="H41" s="84">
        <v>6.5</v>
      </c>
      <c r="I41" s="84">
        <v>6</v>
      </c>
      <c r="J41" s="84">
        <v>6</v>
      </c>
      <c r="K41" s="84">
        <v>6</v>
      </c>
      <c r="L41" s="84">
        <v>6</v>
      </c>
      <c r="M41" s="81"/>
      <c r="N41" s="82">
        <f t="shared" si="1"/>
        <v>9</v>
      </c>
      <c r="O41" s="82">
        <f>IF(N41="","",N41)</f>
        <v>9</v>
      </c>
    </row>
    <row r="42" spans="1:15" x14ac:dyDescent="0.25">
      <c r="A42" s="103"/>
      <c r="B42" s="110"/>
      <c r="C42" s="112"/>
      <c r="D42" s="80">
        <v>2</v>
      </c>
      <c r="E42" s="86" t="s">
        <v>50</v>
      </c>
      <c r="F42" s="82" t="str">
        <f>IF($E42="","",IF(ISNA(VLOOKUP($E42,DD!$A$2:$C$150,2,0)),"NO SUCH DIVE",VLOOKUP($E42,DD!$A$2:$C$150,2,0)))</f>
        <v>Back jump layout</v>
      </c>
      <c r="G42" s="83">
        <f>IF($E42="","",IF(ISNA(VLOOKUP($E42,DD!$A$2:$C$150,3,0)),"",VLOOKUP($E42,DD!$A$2:$C$150,3,0)))</f>
        <v>0.5</v>
      </c>
      <c r="H42" s="84">
        <v>4</v>
      </c>
      <c r="I42" s="84">
        <v>4.5</v>
      </c>
      <c r="J42" s="84">
        <v>5</v>
      </c>
      <c r="K42" s="84">
        <v>5</v>
      </c>
      <c r="L42" s="84">
        <v>5.5</v>
      </c>
      <c r="M42" s="81"/>
      <c r="N42" s="82">
        <f t="shared" si="1"/>
        <v>7.25</v>
      </c>
      <c r="O42" s="82">
        <f>IF(N42="","",N42+O41)</f>
        <v>16.25</v>
      </c>
    </row>
    <row r="43" spans="1:15" x14ac:dyDescent="0.25">
      <c r="A43" s="103"/>
      <c r="B43" s="110"/>
      <c r="C43" s="112"/>
      <c r="D43" s="80">
        <v>3</v>
      </c>
      <c r="E43" s="86" t="s">
        <v>54</v>
      </c>
      <c r="F43" s="82" t="str">
        <f>IF($E43="","",IF(ISNA(VLOOKUP($E43,DD!$A$2:$C$150,2,0)),"NO SUCH DIVE",VLOOKUP($E43,DD!$A$2:$C$150,2,0)))</f>
        <v>Front dive layout</v>
      </c>
      <c r="G43" s="80">
        <f>IF($E43="","",IF(ISNA(VLOOKUP($E43,DD!$A$2:$C$150,3,0)),"",VLOOKUP($E43,DD!$A$2:$C$150,3,0)))</f>
        <v>1.3</v>
      </c>
      <c r="H43" s="84">
        <v>5.5</v>
      </c>
      <c r="I43" s="84">
        <v>6</v>
      </c>
      <c r="J43" s="84">
        <v>5</v>
      </c>
      <c r="K43" s="84">
        <v>5.5</v>
      </c>
      <c r="L43" s="84">
        <v>5.5</v>
      </c>
      <c r="M43" s="81"/>
      <c r="N43" s="82">
        <f t="shared" si="1"/>
        <v>21.45</v>
      </c>
      <c r="O43" s="85">
        <f>IF(N43="",0,N43+O42)</f>
        <v>37.700000000000003</v>
      </c>
    </row>
    <row r="44" spans="1:15" x14ac:dyDescent="0.25">
      <c r="A44" s="97">
        <v>15</v>
      </c>
      <c r="B44" s="109" t="s">
        <v>403</v>
      </c>
      <c r="C44" s="111" t="s">
        <v>137</v>
      </c>
      <c r="D44" s="46">
        <v>1</v>
      </c>
      <c r="E44" s="50" t="s">
        <v>45</v>
      </c>
      <c r="F44" s="45" t="str">
        <f>IF($E44="","",IF(ISNA(VLOOKUP($E44,DD!$A$2:$C$150,2,0)),"NO SUCH DIVE",VLOOKUP($E44,DD!$A$2:$C$150,2,0)))</f>
        <v>Front jump tuck</v>
      </c>
      <c r="G44" s="51">
        <f>IF($E44="","",IF(ISNA(VLOOKUP($E44,DD!$A$2:$C$150,3,0)),"",VLOOKUP($E44,DD!$A$2:$C$150,3,0)))</f>
        <v>0.6</v>
      </c>
      <c r="H44" s="52">
        <v>2</v>
      </c>
      <c r="I44" s="52">
        <v>2</v>
      </c>
      <c r="J44" s="52">
        <v>2</v>
      </c>
      <c r="K44" s="52">
        <v>2</v>
      </c>
      <c r="L44" s="52">
        <v>2</v>
      </c>
      <c r="M44" s="50"/>
      <c r="N44" s="45">
        <f t="shared" si="1"/>
        <v>3.5999999999999996</v>
      </c>
      <c r="O44" s="45">
        <f>IF(N44="","",N44)</f>
        <v>3.5999999999999996</v>
      </c>
    </row>
    <row r="45" spans="1:15" x14ac:dyDescent="0.25">
      <c r="A45" s="97"/>
      <c r="B45" s="109"/>
      <c r="C45" s="111"/>
      <c r="D45" s="46">
        <v>2</v>
      </c>
      <c r="E45" s="62" t="s">
        <v>46</v>
      </c>
      <c r="F45" s="45" t="str">
        <f>IF($E45="","",IF(ISNA(VLOOKUP($E45,DD!$A$2:$C$150,2,0)),"NO SUCH DIVE",VLOOKUP($E45,DD!$A$2:$C$150,2,0)))</f>
        <v>Back fall in</v>
      </c>
      <c r="G45" s="51">
        <f>IF($E45="","",IF(ISNA(VLOOKUP($E45,DD!$A$2:$C$150,3,0)),"",VLOOKUP($E45,DD!$A$2:$C$150,3,0)))</f>
        <v>1</v>
      </c>
      <c r="H45" s="52">
        <v>6</v>
      </c>
      <c r="I45" s="52">
        <v>5</v>
      </c>
      <c r="J45" s="52">
        <v>5</v>
      </c>
      <c r="K45" s="52">
        <v>5.5</v>
      </c>
      <c r="L45" s="52">
        <v>5</v>
      </c>
      <c r="M45" s="50"/>
      <c r="N45" s="45">
        <f t="shared" si="1"/>
        <v>15.5</v>
      </c>
      <c r="O45" s="45">
        <f>IF(N45="","",N45+O44)</f>
        <v>19.100000000000001</v>
      </c>
    </row>
    <row r="46" spans="1:15" x14ac:dyDescent="0.25">
      <c r="A46" s="97"/>
      <c r="B46" s="109"/>
      <c r="C46" s="111"/>
      <c r="D46" s="46">
        <v>3</v>
      </c>
      <c r="E46" s="62" t="s">
        <v>47</v>
      </c>
      <c r="F46" s="45" t="str">
        <f>IF($E46="","",IF(ISNA(VLOOKUP($E46,DD!$A$2:$C$150,2,0)),"NO SUCH DIVE",VLOOKUP($E46,DD!$A$2:$C$150,2,0)))</f>
        <v>Front fall-in</v>
      </c>
      <c r="G46" s="46">
        <f>IF($E46="","",IF(ISNA(VLOOKUP($E46,DD!$A$2:$C$150,3,0)),"",VLOOKUP($E46,DD!$A$2:$C$150,3,0)))</f>
        <v>1</v>
      </c>
      <c r="H46" s="52">
        <v>5.5</v>
      </c>
      <c r="I46" s="52">
        <v>5</v>
      </c>
      <c r="J46" s="52">
        <v>6</v>
      </c>
      <c r="K46" s="52">
        <v>5.5</v>
      </c>
      <c r="L46" s="52">
        <v>5.5</v>
      </c>
      <c r="M46" s="50"/>
      <c r="N46" s="45">
        <f t="shared" si="1"/>
        <v>16.5</v>
      </c>
      <c r="O46" s="54">
        <f>IF(N46="",0,N46+O45)</f>
        <v>35.6</v>
      </c>
    </row>
    <row r="47" spans="1:15" x14ac:dyDescent="0.25">
      <c r="A47" s="103">
        <v>16</v>
      </c>
      <c r="B47" s="110"/>
      <c r="C47" s="112"/>
      <c r="D47" s="80">
        <v>1</v>
      </c>
      <c r="E47" s="81"/>
      <c r="F47" s="82" t="str">
        <f>IF($E47="","",IF(ISNA(VLOOKUP($E47,DD!$A$2:$C$150,2,0)),"NO SUCH DIVE",VLOOKUP($E47,DD!$A$2:$C$150,2,0)))</f>
        <v/>
      </c>
      <c r="G47" s="83" t="str">
        <f>IF($E47="","",IF(ISNA(VLOOKUP($E47,DD!$A$2:$C$150,3,0)),"",VLOOKUP($E47,DD!$A$2:$C$150,3,0)))</f>
        <v/>
      </c>
      <c r="H47" s="84"/>
      <c r="I47" s="84"/>
      <c r="J47" s="84"/>
      <c r="K47" s="84"/>
      <c r="L47" s="84"/>
      <c r="M47" s="81"/>
      <c r="N47" s="82" t="str">
        <f t="shared" si="1"/>
        <v/>
      </c>
      <c r="O47" s="82" t="str">
        <f>IF(N47="","",N47)</f>
        <v/>
      </c>
    </row>
    <row r="48" spans="1:15" x14ac:dyDescent="0.25">
      <c r="A48" s="103"/>
      <c r="B48" s="110"/>
      <c r="C48" s="112"/>
      <c r="D48" s="80">
        <v>2</v>
      </c>
      <c r="E48" s="86"/>
      <c r="F48" s="82" t="str">
        <f>IF($E48="","",IF(ISNA(VLOOKUP($E48,DD!$A$2:$C$150,2,0)),"NO SUCH DIVE",VLOOKUP($E48,DD!$A$2:$C$150,2,0)))</f>
        <v/>
      </c>
      <c r="G48" s="83" t="str">
        <f>IF($E48="","",IF(ISNA(VLOOKUP($E48,DD!$A$2:$C$150,3,0)),"",VLOOKUP($E48,DD!$A$2:$C$150,3,0)))</f>
        <v/>
      </c>
      <c r="H48" s="84"/>
      <c r="I48" s="84"/>
      <c r="J48" s="84"/>
      <c r="K48" s="84"/>
      <c r="L48" s="84"/>
      <c r="M48" s="81"/>
      <c r="N48" s="82" t="str">
        <f t="shared" si="1"/>
        <v/>
      </c>
      <c r="O48" s="82" t="str">
        <f>IF(N48="","",N48+O47)</f>
        <v/>
      </c>
    </row>
    <row r="49" spans="1:15" x14ac:dyDescent="0.25">
      <c r="A49" s="103"/>
      <c r="B49" s="110"/>
      <c r="C49" s="112"/>
      <c r="D49" s="80">
        <v>3</v>
      </c>
      <c r="E49" s="86"/>
      <c r="F49" s="82" t="str">
        <f>IF($E49="","",IF(ISNA(VLOOKUP($E49,DD!$A$2:$C$150,2,0)),"NO SUCH DIVE",VLOOKUP($E49,DD!$A$2:$C$150,2,0)))</f>
        <v/>
      </c>
      <c r="G49" s="80" t="str">
        <f>IF($E49="","",IF(ISNA(VLOOKUP($E49,DD!$A$2:$C$150,3,0)),"",VLOOKUP($E49,DD!$A$2:$C$150,3,0)))</f>
        <v/>
      </c>
      <c r="H49" s="84"/>
      <c r="I49" s="84"/>
      <c r="J49" s="84"/>
      <c r="K49" s="84"/>
      <c r="L49" s="84"/>
      <c r="M49" s="81"/>
      <c r="N49" s="82" t="str">
        <f t="shared" si="1"/>
        <v/>
      </c>
      <c r="O49" s="85">
        <f>IF(N49="",0,N49+O48)</f>
        <v>0</v>
      </c>
    </row>
    <row r="50" spans="1:15" x14ac:dyDescent="0.25">
      <c r="A50" s="97">
        <v>17</v>
      </c>
      <c r="B50" s="109" t="s">
        <v>404</v>
      </c>
      <c r="C50" s="111" t="s">
        <v>52</v>
      </c>
      <c r="D50" s="46">
        <v>1</v>
      </c>
      <c r="E50" s="50" t="s">
        <v>54</v>
      </c>
      <c r="F50" s="45" t="str">
        <f>IF($E50="","",IF(ISNA(VLOOKUP($E50,DD!$A$2:$C$150,2,0)),"NO SUCH DIVE",VLOOKUP($E50,DD!$A$2:$C$150,2,0)))</f>
        <v>Front dive layout</v>
      </c>
      <c r="G50" s="51">
        <f>IF($E50="","",IF(ISNA(VLOOKUP($E50,DD!$A$2:$C$150,3,0)),"",VLOOKUP($E50,DD!$A$2:$C$150,3,0)))</f>
        <v>1.3</v>
      </c>
      <c r="H50" s="52">
        <v>5.5</v>
      </c>
      <c r="I50" s="52">
        <v>5.5</v>
      </c>
      <c r="J50" s="52">
        <v>5.5</v>
      </c>
      <c r="K50" s="52">
        <v>6</v>
      </c>
      <c r="L50" s="52">
        <v>5.5</v>
      </c>
      <c r="M50" s="50"/>
      <c r="N50" s="45">
        <f t="shared" si="1"/>
        <v>21.45</v>
      </c>
      <c r="O50" s="45">
        <f>IF(N50="","",N50)</f>
        <v>21.45</v>
      </c>
    </row>
    <row r="51" spans="1:15" x14ac:dyDescent="0.25">
      <c r="A51" s="97"/>
      <c r="B51" s="109"/>
      <c r="C51" s="111"/>
      <c r="D51" s="46">
        <v>2</v>
      </c>
      <c r="E51" s="50" t="s">
        <v>46</v>
      </c>
      <c r="F51" s="45" t="str">
        <f>IF($E51="","",IF(ISNA(VLOOKUP($E51,DD!$A$2:$C$150,2,0)),"NO SUCH DIVE",VLOOKUP($E51,DD!$A$2:$C$150,2,0)))</f>
        <v>Back fall in</v>
      </c>
      <c r="G51" s="51">
        <f>IF($E51="","",IF(ISNA(VLOOKUP($E51,DD!$A$2:$C$150,3,0)),"",VLOOKUP($E51,DD!$A$2:$C$150,3,0)))</f>
        <v>1</v>
      </c>
      <c r="H51" s="52">
        <v>5.5</v>
      </c>
      <c r="I51" s="52">
        <v>5.5</v>
      </c>
      <c r="J51" s="52">
        <v>5.5</v>
      </c>
      <c r="K51" s="52">
        <v>6</v>
      </c>
      <c r="L51" s="52">
        <v>5.5</v>
      </c>
      <c r="M51" s="50"/>
      <c r="N51" s="45">
        <f t="shared" si="1"/>
        <v>16.5</v>
      </c>
      <c r="O51" s="45">
        <f>IF(N51="","",N51+O50)</f>
        <v>37.950000000000003</v>
      </c>
    </row>
    <row r="52" spans="1:15" x14ac:dyDescent="0.25">
      <c r="A52" s="97"/>
      <c r="B52" s="109"/>
      <c r="C52" s="111"/>
      <c r="D52" s="46">
        <v>3</v>
      </c>
      <c r="E52" s="50" t="s">
        <v>72</v>
      </c>
      <c r="F52" s="45" t="str">
        <f>IF($E52="","",IF(ISNA(VLOOKUP($E52,DD!$A$2:$C$150,2,0)),"NO SUCH DIVE",VLOOKUP($E52,DD!$A$2:$C$150,2,0)))</f>
        <v>Front somersault tuck</v>
      </c>
      <c r="G52" s="46">
        <f>IF($E52="","",IF(ISNA(VLOOKUP($E52,DD!$A$2:$C$150,3,0)),"",VLOOKUP($E52,DD!$A$2:$C$150,3,0)))</f>
        <v>1.4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0"/>
      <c r="N52" s="45">
        <f t="shared" si="1"/>
        <v>4.1999999999999993</v>
      </c>
      <c r="O52" s="54">
        <f>IF(N52="",0,N52+O51)</f>
        <v>42.150000000000006</v>
      </c>
    </row>
    <row r="53" spans="1:15" x14ac:dyDescent="0.25">
      <c r="A53" s="103">
        <v>18</v>
      </c>
      <c r="B53" s="110" t="s">
        <v>405</v>
      </c>
      <c r="C53" s="112" t="s">
        <v>60</v>
      </c>
      <c r="D53" s="80">
        <v>1</v>
      </c>
      <c r="E53" s="81" t="s">
        <v>45</v>
      </c>
      <c r="F53" s="82" t="str">
        <f>IF($E53="","",IF(ISNA(VLOOKUP($E53,DD!$A$2:$C$150,2,0)),"NO SUCH DIVE",VLOOKUP($E53,DD!$A$2:$C$150,2,0)))</f>
        <v>Front jump tuck</v>
      </c>
      <c r="G53" s="83">
        <f>IF($E53="","",IF(ISNA(VLOOKUP($E53,DD!$A$2:$C$150,3,0)),"",VLOOKUP($E53,DD!$A$2:$C$150,3,0)))</f>
        <v>0.6</v>
      </c>
      <c r="H53" s="84">
        <v>7</v>
      </c>
      <c r="I53" s="84">
        <v>7</v>
      </c>
      <c r="J53" s="84">
        <v>7</v>
      </c>
      <c r="K53" s="84">
        <v>6.5</v>
      </c>
      <c r="L53" s="84">
        <v>7.5</v>
      </c>
      <c r="M53" s="81"/>
      <c r="N53" s="82">
        <f t="shared" si="1"/>
        <v>12.6</v>
      </c>
      <c r="O53" s="82">
        <f>IF(N53="","",N53)</f>
        <v>12.6</v>
      </c>
    </row>
    <row r="54" spans="1:15" x14ac:dyDescent="0.25">
      <c r="A54" s="103"/>
      <c r="B54" s="110"/>
      <c r="C54" s="112"/>
      <c r="D54" s="80">
        <v>2</v>
      </c>
      <c r="E54" s="86" t="s">
        <v>61</v>
      </c>
      <c r="F54" s="82" t="str">
        <f>IF($E54="","",IF(ISNA(VLOOKUP($E54,DD!$A$2:$C$150,2,0)),"NO SUCH DIVE",VLOOKUP($E54,DD!$A$2:$C$150,2,0)))</f>
        <v>Back jump tuck</v>
      </c>
      <c r="G54" s="83">
        <f>IF($E54="","",IF(ISNA(VLOOKUP($E54,DD!$A$2:$C$150,3,0)),"",VLOOKUP($E54,DD!$A$2:$C$150,3,0)))</f>
        <v>0.6</v>
      </c>
      <c r="H54" s="84">
        <v>6</v>
      </c>
      <c r="I54" s="84">
        <v>6.5</v>
      </c>
      <c r="J54" s="84">
        <v>7</v>
      </c>
      <c r="K54" s="84">
        <v>6</v>
      </c>
      <c r="L54" s="84">
        <v>6</v>
      </c>
      <c r="M54" s="81"/>
      <c r="N54" s="82">
        <f t="shared" si="1"/>
        <v>11.1</v>
      </c>
      <c r="O54" s="82">
        <f>IF(N54="","",N54+O53)</f>
        <v>23.7</v>
      </c>
    </row>
    <row r="55" spans="1:15" x14ac:dyDescent="0.25">
      <c r="A55" s="103"/>
      <c r="B55" s="110"/>
      <c r="C55" s="112"/>
      <c r="D55" s="80">
        <v>3</v>
      </c>
      <c r="E55" s="86" t="s">
        <v>47</v>
      </c>
      <c r="F55" s="82" t="str">
        <f>IF($E55="","",IF(ISNA(VLOOKUP($E55,DD!$A$2:$C$150,2,0)),"NO SUCH DIVE",VLOOKUP($E55,DD!$A$2:$C$150,2,0)))</f>
        <v>Front fall-in</v>
      </c>
      <c r="G55" s="80">
        <f>IF($E55="","",IF(ISNA(VLOOKUP($E55,DD!$A$2:$C$150,3,0)),"",VLOOKUP($E55,DD!$A$2:$C$150,3,0)))</f>
        <v>1</v>
      </c>
      <c r="H55" s="84">
        <v>6.5</v>
      </c>
      <c r="I55" s="84">
        <v>6</v>
      </c>
      <c r="J55" s="84">
        <v>6</v>
      </c>
      <c r="K55" s="84">
        <v>6</v>
      </c>
      <c r="L55" s="84">
        <v>6</v>
      </c>
      <c r="M55" s="81"/>
      <c r="N55" s="82">
        <f t="shared" si="1"/>
        <v>18</v>
      </c>
      <c r="O55" s="85">
        <f>IF(N55="",0,N55+O54)</f>
        <v>41.7</v>
      </c>
    </row>
    <row r="56" spans="1:15" x14ac:dyDescent="0.25">
      <c r="A56" s="97">
        <v>19</v>
      </c>
      <c r="B56" s="109" t="s">
        <v>406</v>
      </c>
      <c r="C56" s="111" t="s">
        <v>57</v>
      </c>
      <c r="D56" s="46">
        <v>1</v>
      </c>
      <c r="E56" s="50" t="s">
        <v>45</v>
      </c>
      <c r="F56" s="45" t="str">
        <f>IF($E56="","",IF(ISNA(VLOOKUP($E56,DD!$A$2:$C$150,2,0)),"NO SUCH DIVE",VLOOKUP($E56,DD!$A$2:$C$150,2,0)))</f>
        <v>Front jump tuck</v>
      </c>
      <c r="G56" s="51">
        <f>IF($E56="","",IF(ISNA(VLOOKUP($E56,DD!$A$2:$C$150,3,0)),"",VLOOKUP($E56,DD!$A$2:$C$150,3,0)))</f>
        <v>0.6</v>
      </c>
      <c r="H56" s="52">
        <v>5.5</v>
      </c>
      <c r="I56" s="52">
        <v>5</v>
      </c>
      <c r="J56" s="52">
        <v>5.5</v>
      </c>
      <c r="K56" s="52">
        <v>5</v>
      </c>
      <c r="L56" s="52">
        <v>5</v>
      </c>
      <c r="M56" s="50"/>
      <c r="N56" s="45">
        <f t="shared" si="1"/>
        <v>9.2999999999999989</v>
      </c>
      <c r="O56" s="45">
        <f>IF(N56="","",N56)</f>
        <v>9.2999999999999989</v>
      </c>
    </row>
    <row r="57" spans="1:15" x14ac:dyDescent="0.25">
      <c r="A57" s="97"/>
      <c r="B57" s="109"/>
      <c r="C57" s="111"/>
      <c r="D57" s="46">
        <v>2</v>
      </c>
      <c r="E57" s="50" t="s">
        <v>46</v>
      </c>
      <c r="F57" s="45" t="str">
        <f>IF($E57="","",IF(ISNA(VLOOKUP($E57,DD!$A$2:$C$150,2,0)),"NO SUCH DIVE",VLOOKUP($E57,DD!$A$2:$C$150,2,0)))</f>
        <v>Back fall in</v>
      </c>
      <c r="G57" s="51">
        <f>IF($E57="","",IF(ISNA(VLOOKUP($E57,DD!$A$2:$C$150,3,0)),"",VLOOKUP($E57,DD!$A$2:$C$150,3,0)))</f>
        <v>1</v>
      </c>
      <c r="H57" s="52">
        <v>5.5</v>
      </c>
      <c r="I57" s="52">
        <v>5</v>
      </c>
      <c r="J57" s="52">
        <v>5.5</v>
      </c>
      <c r="K57" s="52">
        <v>5</v>
      </c>
      <c r="L57" s="52">
        <v>5.5</v>
      </c>
      <c r="M57" s="50"/>
      <c r="N57" s="45">
        <f t="shared" si="1"/>
        <v>16</v>
      </c>
      <c r="O57" s="45">
        <f>IF(N57="","",N57+O56)</f>
        <v>25.299999999999997</v>
      </c>
    </row>
    <row r="58" spans="1:15" x14ac:dyDescent="0.25">
      <c r="A58" s="97"/>
      <c r="B58" s="109"/>
      <c r="C58" s="111"/>
      <c r="D58" s="46">
        <v>3</v>
      </c>
      <c r="E58" s="50" t="s">
        <v>54</v>
      </c>
      <c r="F58" s="45" t="str">
        <f>IF($E58="","",IF(ISNA(VLOOKUP($E58,DD!$A$2:$C$150,2,0)),"NO SUCH DIVE",VLOOKUP($E58,DD!$A$2:$C$150,2,0)))</f>
        <v>Front dive layout</v>
      </c>
      <c r="G58" s="46">
        <f>IF($E58="","",IF(ISNA(VLOOKUP($E58,DD!$A$2:$C$150,3,0)),"",VLOOKUP($E58,DD!$A$2:$C$150,3,0)))</f>
        <v>1.3</v>
      </c>
      <c r="H58" s="52">
        <v>6</v>
      </c>
      <c r="I58" s="52">
        <v>5.5</v>
      </c>
      <c r="J58" s="52">
        <v>5.5</v>
      </c>
      <c r="K58" s="52">
        <v>5.5</v>
      </c>
      <c r="L58" s="52">
        <v>5.5</v>
      </c>
      <c r="M58" s="50"/>
      <c r="N58" s="45">
        <f t="shared" si="1"/>
        <v>21.45</v>
      </c>
      <c r="O58" s="54">
        <f>IF(N58="",0,N58+O57)</f>
        <v>46.75</v>
      </c>
    </row>
    <row r="59" spans="1:15" x14ac:dyDescent="0.25">
      <c r="A59" s="103">
        <v>20</v>
      </c>
      <c r="B59" s="110" t="s">
        <v>407</v>
      </c>
      <c r="C59" s="112" t="s">
        <v>60</v>
      </c>
      <c r="D59" s="80">
        <v>1</v>
      </c>
      <c r="E59" s="81" t="s">
        <v>45</v>
      </c>
      <c r="F59" s="82" t="str">
        <f>IF($E59="","",IF(ISNA(VLOOKUP($E59,DD!$A$2:$C$150,2,0)),"NO SUCH DIVE",VLOOKUP($E59,DD!$A$2:$C$150,2,0)))</f>
        <v>Front jump tuck</v>
      </c>
      <c r="G59" s="83">
        <f>IF($E59="","",IF(ISNA(VLOOKUP($E59,DD!$A$2:$C$150,3,0)),"",VLOOKUP($E59,DD!$A$2:$C$150,3,0)))</f>
        <v>0.6</v>
      </c>
      <c r="H59" s="84">
        <v>5.5</v>
      </c>
      <c r="I59" s="84">
        <v>5.5</v>
      </c>
      <c r="J59" s="84">
        <v>6</v>
      </c>
      <c r="K59" s="84">
        <v>5.5</v>
      </c>
      <c r="L59" s="84">
        <v>5.5</v>
      </c>
      <c r="M59" s="81"/>
      <c r="N59" s="82">
        <f t="shared" si="1"/>
        <v>9.9</v>
      </c>
      <c r="O59" s="82">
        <f>IF(N59="","",N59)</f>
        <v>9.9</v>
      </c>
    </row>
    <row r="60" spans="1:15" x14ac:dyDescent="0.25">
      <c r="A60" s="103"/>
      <c r="B60" s="110"/>
      <c r="C60" s="112"/>
      <c r="D60" s="80">
        <v>2</v>
      </c>
      <c r="E60" s="86" t="s">
        <v>61</v>
      </c>
      <c r="F60" s="82" t="str">
        <f>IF($E60="","",IF(ISNA(VLOOKUP($E60,DD!$A$2:$C$150,2,0)),"NO SUCH DIVE",VLOOKUP($E60,DD!$A$2:$C$150,2,0)))</f>
        <v>Back jump tuck</v>
      </c>
      <c r="G60" s="83">
        <f>IF($E60="","",IF(ISNA(VLOOKUP($E60,DD!$A$2:$C$150,3,0)),"",VLOOKUP($E60,DD!$A$2:$C$150,3,0)))</f>
        <v>0.6</v>
      </c>
      <c r="H60" s="84">
        <v>4.5</v>
      </c>
      <c r="I60" s="84">
        <v>5</v>
      </c>
      <c r="J60" s="84">
        <v>5</v>
      </c>
      <c r="K60" s="84">
        <v>5</v>
      </c>
      <c r="L60" s="84">
        <v>5.5</v>
      </c>
      <c r="M60" s="81"/>
      <c r="N60" s="82">
        <f t="shared" si="1"/>
        <v>9</v>
      </c>
      <c r="O60" s="82">
        <f>IF(N60="","",N60+O59)</f>
        <v>18.899999999999999</v>
      </c>
    </row>
    <row r="61" spans="1:15" x14ac:dyDescent="0.25">
      <c r="A61" s="103"/>
      <c r="B61" s="110"/>
      <c r="C61" s="112"/>
      <c r="D61" s="80">
        <v>3</v>
      </c>
      <c r="E61" s="86" t="s">
        <v>47</v>
      </c>
      <c r="F61" s="82" t="str">
        <f>IF($E61="","",IF(ISNA(VLOOKUP($E61,DD!$A$2:$C$150,2,0)),"NO SUCH DIVE",VLOOKUP($E61,DD!$A$2:$C$150,2,0)))</f>
        <v>Front fall-in</v>
      </c>
      <c r="G61" s="80">
        <f>IF($E61="","",IF(ISNA(VLOOKUP($E61,DD!$A$2:$C$150,3,0)),"",VLOOKUP($E61,DD!$A$2:$C$150,3,0)))</f>
        <v>1</v>
      </c>
      <c r="H61" s="84">
        <v>5</v>
      </c>
      <c r="I61" s="84">
        <v>5</v>
      </c>
      <c r="J61" s="84">
        <v>5.5</v>
      </c>
      <c r="K61" s="84">
        <v>5</v>
      </c>
      <c r="L61" s="84">
        <v>5</v>
      </c>
      <c r="M61" s="81"/>
      <c r="N61" s="82">
        <f t="shared" si="1"/>
        <v>15</v>
      </c>
      <c r="O61" s="85">
        <f>IF(N61="",0,N61+O60)</f>
        <v>33.9</v>
      </c>
    </row>
    <row r="62" spans="1:15" x14ac:dyDescent="0.25">
      <c r="A62" s="97">
        <v>21</v>
      </c>
      <c r="B62" s="109" t="s">
        <v>408</v>
      </c>
      <c r="C62" s="111" t="s">
        <v>57</v>
      </c>
      <c r="D62" s="46">
        <v>1</v>
      </c>
      <c r="E62" s="50" t="s">
        <v>89</v>
      </c>
      <c r="F62" s="45" t="str">
        <f>IF($E62="","",IF(ISNA(VLOOKUP($E62,DD!$A$2:$C$150,2,0)),"NO SUCH DIVE",VLOOKUP($E62,DD!$A$2:$C$150,2,0)))</f>
        <v>Front dive tuck</v>
      </c>
      <c r="G62" s="51">
        <f>IF($E62="","",IF(ISNA(VLOOKUP($E62,DD!$A$2:$C$150,3,0)),"",VLOOKUP($E62,DD!$A$2:$C$150,3,0)))</f>
        <v>1.3</v>
      </c>
      <c r="H62" s="52">
        <v>4.5</v>
      </c>
      <c r="I62" s="52">
        <v>4</v>
      </c>
      <c r="J62" s="52">
        <v>4</v>
      </c>
      <c r="K62" s="52">
        <v>4.5</v>
      </c>
      <c r="L62" s="52">
        <v>4</v>
      </c>
      <c r="M62" s="50"/>
      <c r="N62" s="45">
        <f t="shared" si="1"/>
        <v>16.25</v>
      </c>
      <c r="O62" s="45">
        <f>IF(N62="","",N62)</f>
        <v>16.25</v>
      </c>
    </row>
    <row r="63" spans="1:15" x14ac:dyDescent="0.25">
      <c r="A63" s="97"/>
      <c r="B63" s="109"/>
      <c r="C63" s="111"/>
      <c r="D63" s="46">
        <v>2</v>
      </c>
      <c r="E63" s="50" t="s">
        <v>46</v>
      </c>
      <c r="F63" s="45" t="str">
        <f>IF($E63="","",IF(ISNA(VLOOKUP($E63,DD!$A$2:$C$150,2,0)),"NO SUCH DIVE",VLOOKUP($E63,DD!$A$2:$C$150,2,0)))</f>
        <v>Back fall in</v>
      </c>
      <c r="G63" s="51">
        <f>IF($E63="","",IF(ISNA(VLOOKUP($E63,DD!$A$2:$C$150,3,0)),"",VLOOKUP($E63,DD!$A$2:$C$150,3,0)))</f>
        <v>1</v>
      </c>
      <c r="H63" s="52">
        <v>5.5</v>
      </c>
      <c r="I63" s="52">
        <v>5.5</v>
      </c>
      <c r="J63" s="52">
        <v>6</v>
      </c>
      <c r="K63" s="52">
        <v>5.5</v>
      </c>
      <c r="L63" s="52">
        <v>5.5</v>
      </c>
      <c r="M63" s="50"/>
      <c r="N63" s="45">
        <f t="shared" si="1"/>
        <v>16.5</v>
      </c>
      <c r="O63" s="45">
        <f>IF(N63="","",N63+O62)</f>
        <v>32.75</v>
      </c>
    </row>
    <row r="64" spans="1:15" x14ac:dyDescent="0.25">
      <c r="A64" s="97"/>
      <c r="B64" s="109"/>
      <c r="C64" s="111"/>
      <c r="D64" s="46">
        <v>3</v>
      </c>
      <c r="E64" s="50" t="s">
        <v>72</v>
      </c>
      <c r="F64" s="45" t="str">
        <f>IF($E64="","",IF(ISNA(VLOOKUP($E64,DD!$A$2:$C$150,2,0)),"NO SUCH DIVE",VLOOKUP($E64,DD!$A$2:$C$150,2,0)))</f>
        <v>Front somersault tuck</v>
      </c>
      <c r="G64" s="46">
        <f>IF($E64="","",IF(ISNA(VLOOKUP($E64,DD!$A$2:$C$150,3,0)),"",VLOOKUP($E64,DD!$A$2:$C$150,3,0)))</f>
        <v>1.4</v>
      </c>
      <c r="H64" s="52">
        <v>2.5</v>
      </c>
      <c r="I64" s="52">
        <v>3</v>
      </c>
      <c r="J64" s="52">
        <v>3</v>
      </c>
      <c r="K64" s="52">
        <v>2.5</v>
      </c>
      <c r="L64" s="52">
        <v>2.5</v>
      </c>
      <c r="M64" s="50"/>
      <c r="N64" s="45">
        <f t="shared" si="1"/>
        <v>11.2</v>
      </c>
      <c r="O64" s="54">
        <f>IF(N64="",0,N64+O63)</f>
        <v>43.95</v>
      </c>
    </row>
    <row r="65" spans="1:20" x14ac:dyDescent="0.25">
      <c r="A65" s="103">
        <v>22</v>
      </c>
      <c r="B65" s="110" t="s">
        <v>409</v>
      </c>
      <c r="C65" s="112" t="s">
        <v>49</v>
      </c>
      <c r="D65" s="80">
        <v>1</v>
      </c>
      <c r="E65" s="81" t="s">
        <v>86</v>
      </c>
      <c r="F65" s="82" t="str">
        <f>IF($E65="","",IF(ISNA(VLOOKUP($E65,DD!$A$2:$C$150,2,0)),"NO SUCH DIVE",VLOOKUP($E65,DD!$A$2:$C$150,2,0)))</f>
        <v>Front jump tuck</v>
      </c>
      <c r="G65" s="83">
        <f>IF($E65="","",IF(ISNA(VLOOKUP($E65,DD!$A$2:$C$150,3,0)),"",VLOOKUP($E65,DD!$A$2:$C$150,3,0)))</f>
        <v>0.6</v>
      </c>
      <c r="H65" s="84">
        <v>6.5</v>
      </c>
      <c r="I65" s="84">
        <v>6</v>
      </c>
      <c r="J65" s="84">
        <v>6.5</v>
      </c>
      <c r="K65" s="84">
        <v>6</v>
      </c>
      <c r="L65" s="84">
        <v>6.5</v>
      </c>
      <c r="M65" s="81"/>
      <c r="N65" s="82">
        <f t="shared" si="1"/>
        <v>11.4</v>
      </c>
      <c r="O65" s="82">
        <f>IF(N65="","",N65)</f>
        <v>11.4</v>
      </c>
    </row>
    <row r="66" spans="1:20" x14ac:dyDescent="0.25">
      <c r="A66" s="103"/>
      <c r="B66" s="110"/>
      <c r="C66" s="112"/>
      <c r="D66" s="80">
        <v>2</v>
      </c>
      <c r="E66" s="86" t="s">
        <v>114</v>
      </c>
      <c r="F66" s="82" t="str">
        <f>IF($E66="","",IF(ISNA(VLOOKUP($E66,DD!$A$2:$C$150,2,0)),"NO SUCH DIVE",VLOOKUP($E66,DD!$A$2:$C$150,2,0)))</f>
        <v>Back jump tuck</v>
      </c>
      <c r="G66" s="83">
        <f>IF($E66="","",IF(ISNA(VLOOKUP($E66,DD!$A$2:$C$150,3,0)),"",VLOOKUP($E66,DD!$A$2:$C$150,3,0)))</f>
        <v>0.6</v>
      </c>
      <c r="H66" s="84">
        <v>6</v>
      </c>
      <c r="I66" s="84">
        <v>6.5</v>
      </c>
      <c r="J66" s="84">
        <v>6.5</v>
      </c>
      <c r="K66" s="84">
        <v>6.5</v>
      </c>
      <c r="L66" s="84">
        <v>6.5</v>
      </c>
      <c r="M66" s="81"/>
      <c r="N66" s="82">
        <f t="shared" ref="N66:N73" si="2">IF(G66="","",IF(COUNT(H66:L66)=3,IF(M66&lt;&gt;"",(SUM(H66:J66)-6)*G66,SUM(H66:J66)*G66),IF(M66&lt;&gt;"",(SUM(H66:L66)-MAX(H66:L66)-MIN(H66:L66)-6)*G66,(SUM(H66:L66)-MAX(H66:L66)-MIN(H66:L66))*G66)))</f>
        <v>11.7</v>
      </c>
      <c r="O66" s="82">
        <f>IF(N66="","",N66+O65)</f>
        <v>23.1</v>
      </c>
    </row>
    <row r="67" spans="1:20" x14ac:dyDescent="0.25">
      <c r="A67" s="103"/>
      <c r="B67" s="110"/>
      <c r="C67" s="112"/>
      <c r="D67" s="80">
        <v>3</v>
      </c>
      <c r="E67" s="86" t="s">
        <v>116</v>
      </c>
      <c r="F67" s="82" t="str">
        <f>IF($E67="","",IF(ISNA(VLOOKUP($E67,DD!$A$2:$C$150,2,0)),"NO SUCH DIVE",VLOOKUP($E67,DD!$A$2:$C$150,2,0)))</f>
        <v>Front dive layout</v>
      </c>
      <c r="G67" s="80">
        <f>IF($E67="","",IF(ISNA(VLOOKUP($E67,DD!$A$2:$C$150,3,0)),"",VLOOKUP($E67,DD!$A$2:$C$150,3,0)))</f>
        <v>1.3</v>
      </c>
      <c r="H67" s="84">
        <v>5.5</v>
      </c>
      <c r="I67" s="84">
        <v>5</v>
      </c>
      <c r="J67" s="84">
        <v>5.5</v>
      </c>
      <c r="K67" s="84">
        <v>5</v>
      </c>
      <c r="L67" s="84">
        <v>5</v>
      </c>
      <c r="M67" s="81"/>
      <c r="N67" s="82">
        <f t="shared" si="2"/>
        <v>20.150000000000002</v>
      </c>
      <c r="O67" s="85">
        <f>IF(N67="",0,N67+O66)</f>
        <v>43.25</v>
      </c>
    </row>
    <row r="68" spans="1:20" x14ac:dyDescent="0.25">
      <c r="A68" s="97">
        <v>23</v>
      </c>
      <c r="B68" s="109" t="s">
        <v>410</v>
      </c>
      <c r="C68" s="111" t="s">
        <v>88</v>
      </c>
      <c r="D68" s="46">
        <v>1</v>
      </c>
      <c r="E68" s="50" t="s">
        <v>47</v>
      </c>
      <c r="F68" s="45" t="str">
        <f>IF($E68="","",IF(ISNA(VLOOKUP($E68,DD!$A$2:$C$150,2,0)),"NO SUCH DIVE",VLOOKUP($E68,DD!$A$2:$C$150,2,0)))</f>
        <v>Front fall-in</v>
      </c>
      <c r="G68" s="51">
        <f>IF($E68="","",IF(ISNA(VLOOKUP($E68,DD!$A$2:$C$150,3,0)),"",VLOOKUP($E68,DD!$A$2:$C$150,3,0)))</f>
        <v>1</v>
      </c>
      <c r="H68" s="52">
        <v>5.5</v>
      </c>
      <c r="I68" s="52">
        <v>6</v>
      </c>
      <c r="J68" s="52">
        <v>5</v>
      </c>
      <c r="K68" s="52">
        <v>6</v>
      </c>
      <c r="L68" s="52">
        <v>5</v>
      </c>
      <c r="M68" s="50"/>
      <c r="N68" s="45">
        <f t="shared" si="2"/>
        <v>16.5</v>
      </c>
      <c r="O68" s="45">
        <f>IF(N68="","",N68)</f>
        <v>16.5</v>
      </c>
    </row>
    <row r="69" spans="1:20" x14ac:dyDescent="0.25">
      <c r="A69" s="97"/>
      <c r="B69" s="109"/>
      <c r="C69" s="111"/>
      <c r="D69" s="46">
        <v>2</v>
      </c>
      <c r="E69" s="62" t="s">
        <v>50</v>
      </c>
      <c r="F69" s="45" t="str">
        <f>IF($E69="","",IF(ISNA(VLOOKUP($E69,DD!$A$2:$C$150,2,0)),"NO SUCH DIVE",VLOOKUP($E69,DD!$A$2:$C$150,2,0)))</f>
        <v>Back jump layout</v>
      </c>
      <c r="G69" s="51">
        <f>IF($E69="","",IF(ISNA(VLOOKUP($E69,DD!$A$2:$C$150,3,0)),"",VLOOKUP($E69,DD!$A$2:$C$150,3,0)))</f>
        <v>0.5</v>
      </c>
      <c r="H69" s="52">
        <v>6</v>
      </c>
      <c r="I69" s="52">
        <v>6</v>
      </c>
      <c r="J69" s="52">
        <v>6</v>
      </c>
      <c r="K69" s="52">
        <v>6</v>
      </c>
      <c r="L69" s="52">
        <v>7</v>
      </c>
      <c r="M69" s="50"/>
      <c r="N69" s="45">
        <f t="shared" si="2"/>
        <v>9</v>
      </c>
      <c r="O69" s="45">
        <f>IF(N69="","",N69+O68)</f>
        <v>25.5</v>
      </c>
    </row>
    <row r="70" spans="1:20" x14ac:dyDescent="0.25">
      <c r="A70" s="97"/>
      <c r="B70" s="109"/>
      <c r="C70" s="111"/>
      <c r="D70" s="46">
        <v>3</v>
      </c>
      <c r="E70" s="62" t="s">
        <v>72</v>
      </c>
      <c r="F70" s="45" t="str">
        <f>IF($E70="","",IF(ISNA(VLOOKUP($E70,DD!$A$2:$C$150,2,0)),"NO SUCH DIVE",VLOOKUP($E70,DD!$A$2:$C$150,2,0)))</f>
        <v>Front somersault tuck</v>
      </c>
      <c r="G70" s="46">
        <f>IF($E70="","",IF(ISNA(VLOOKUP($E70,DD!$A$2:$C$150,3,0)),"",VLOOKUP($E70,DD!$A$2:$C$150,3,0)))</f>
        <v>1.4</v>
      </c>
      <c r="H70" s="52">
        <v>6.5</v>
      </c>
      <c r="I70" s="52">
        <v>7.5</v>
      </c>
      <c r="J70" s="52">
        <v>7</v>
      </c>
      <c r="K70" s="52">
        <v>6.5</v>
      </c>
      <c r="L70" s="52">
        <v>7</v>
      </c>
      <c r="M70" s="50"/>
      <c r="N70" s="45">
        <f t="shared" si="2"/>
        <v>28.7</v>
      </c>
      <c r="O70" s="54">
        <f>IF(N70="",0,N70+O69)</f>
        <v>54.2</v>
      </c>
    </row>
    <row r="71" spans="1:20" x14ac:dyDescent="0.25">
      <c r="A71" s="103">
        <v>24</v>
      </c>
      <c r="B71" s="110" t="s">
        <v>411</v>
      </c>
      <c r="C71" s="112" t="s">
        <v>388</v>
      </c>
      <c r="D71" s="80">
        <v>1</v>
      </c>
      <c r="E71" s="81" t="s">
        <v>45</v>
      </c>
      <c r="F71" s="82" t="str">
        <f>IF($E71="","",IF(ISNA(VLOOKUP($E71,DD!$A$2:$C$150,2,0)),"NO SUCH DIVE",VLOOKUP($E71,DD!$A$2:$C$150,2,0)))</f>
        <v>Front jump tuck</v>
      </c>
      <c r="G71" s="83">
        <f>IF($E71="","",IF(ISNA(VLOOKUP($E71,DD!$A$2:$C$150,3,0)),"",VLOOKUP($E71,DD!$A$2:$C$150,3,0)))</f>
        <v>0.6</v>
      </c>
      <c r="H71" s="84">
        <v>6</v>
      </c>
      <c r="I71" s="84">
        <v>6.5</v>
      </c>
      <c r="J71" s="84">
        <v>6.5</v>
      </c>
      <c r="K71" s="84">
        <v>6.5</v>
      </c>
      <c r="L71" s="84">
        <v>6.5</v>
      </c>
      <c r="M71" s="81"/>
      <c r="N71" s="82">
        <f t="shared" si="2"/>
        <v>11.7</v>
      </c>
      <c r="O71" s="82">
        <f>IF(N71="","",N71)</f>
        <v>11.7</v>
      </c>
    </row>
    <row r="72" spans="1:20" x14ac:dyDescent="0.25">
      <c r="A72" s="103"/>
      <c r="B72" s="110"/>
      <c r="C72" s="112"/>
      <c r="D72" s="80">
        <v>2</v>
      </c>
      <c r="E72" s="86" t="s">
        <v>50</v>
      </c>
      <c r="F72" s="82" t="str">
        <f>IF($E72="","",IF(ISNA(VLOOKUP($E72,DD!$A$2:$C$150,2,0)),"NO SUCH DIVE",VLOOKUP($E72,DD!$A$2:$C$150,2,0)))</f>
        <v>Back jump layout</v>
      </c>
      <c r="G72" s="83">
        <f>IF($E72="","",IF(ISNA(VLOOKUP($E72,DD!$A$2:$C$150,3,0)),"",VLOOKUP($E72,DD!$A$2:$C$150,3,0)))</f>
        <v>0.5</v>
      </c>
      <c r="H72" s="84">
        <v>6</v>
      </c>
      <c r="I72" s="84">
        <v>5.5</v>
      </c>
      <c r="J72" s="84">
        <v>5.5</v>
      </c>
      <c r="K72" s="84">
        <v>5.5</v>
      </c>
      <c r="L72" s="84">
        <v>6</v>
      </c>
      <c r="M72" s="81"/>
      <c r="N72" s="82">
        <f t="shared" si="2"/>
        <v>8.5</v>
      </c>
      <c r="O72" s="82">
        <f>IF(N72="","",N72+O71)</f>
        <v>20.2</v>
      </c>
    </row>
    <row r="73" spans="1:20" x14ac:dyDescent="0.25">
      <c r="A73" s="103"/>
      <c r="B73" s="110"/>
      <c r="C73" s="112"/>
      <c r="D73" s="80">
        <v>3</v>
      </c>
      <c r="E73" s="86" t="s">
        <v>54</v>
      </c>
      <c r="F73" s="82" t="str">
        <f>IF($E73="","",IF(ISNA(VLOOKUP($E73,DD!$A$2:$C$150,2,0)),"NO SUCH DIVE",VLOOKUP($E73,DD!$A$2:$C$150,2,0)))</f>
        <v>Front dive layout</v>
      </c>
      <c r="G73" s="80">
        <f>IF($E73="","",IF(ISNA(VLOOKUP($E73,DD!$A$2:$C$150,3,0)),"",VLOOKUP($E73,DD!$A$2:$C$150,3,0)))</f>
        <v>1.3</v>
      </c>
      <c r="H73" s="84">
        <v>5</v>
      </c>
      <c r="I73" s="84">
        <v>4.5</v>
      </c>
      <c r="J73" s="84">
        <v>5.5</v>
      </c>
      <c r="K73" s="84">
        <v>5</v>
      </c>
      <c r="L73" s="84">
        <v>5.5</v>
      </c>
      <c r="M73" s="81"/>
      <c r="N73" s="82">
        <f t="shared" si="2"/>
        <v>20.150000000000002</v>
      </c>
      <c r="O73" s="85">
        <f>IF(N73="",0,N73+O72)</f>
        <v>40.35</v>
      </c>
    </row>
    <row r="74" spans="1:20" x14ac:dyDescent="0.25">
      <c r="B74" s="49"/>
      <c r="C74" s="49"/>
    </row>
    <row r="75" spans="1:20" ht="36" customHeight="1" x14ac:dyDescent="0.25">
      <c r="C75" s="63" t="s">
        <v>78</v>
      </c>
      <c r="D75" s="64" t="s">
        <v>79</v>
      </c>
      <c r="E75" s="65" t="s">
        <v>80</v>
      </c>
      <c r="F75" s="65" t="s">
        <v>27</v>
      </c>
      <c r="G75" s="65" t="s">
        <v>33</v>
      </c>
      <c r="H75" s="65" t="s">
        <v>81</v>
      </c>
      <c r="I75" s="66" t="s">
        <v>30</v>
      </c>
      <c r="R75" s="45" t="str">
        <f>INFO!$B$4</f>
        <v>Side</v>
      </c>
      <c r="S75" s="45" t="str">
        <f>INFO!$B$5</f>
        <v>ALPS</v>
      </c>
    </row>
    <row r="76" spans="1:20" x14ac:dyDescent="0.25">
      <c r="C76" s="67">
        <f>IF(E76&lt;1,0,1)</f>
        <v>1</v>
      </c>
      <c r="D76" s="68">
        <f>IF(OR(C76&lt;1,H76&lt;&gt;"",COUNTIF(T$76:T76,T76)&gt;3),"",VLOOKUP(C76-COUNTA(H$76:H76),DD!$E$24:$F$49,2))</f>
        <v>16</v>
      </c>
      <c r="E76" s="69">
        <f>IF(LARGE($R$2:$R$25,1)&lt;1,0,LARGE($R$2:$R$25,1))</f>
        <v>73.850003999999998</v>
      </c>
      <c r="F76" s="70" t="str">
        <f t="shared" ref="F76:F99" si="3">VLOOKUP(E76,$R$2:$T$26,2,0)</f>
        <v>Cedric Nelson</v>
      </c>
      <c r="G76" s="68" t="str">
        <f t="shared" ref="G76:G99" si="4">VLOOKUP(E76,$R$2:$T$26,3,0)</f>
        <v>HCP</v>
      </c>
      <c r="H76" s="71"/>
      <c r="I76" s="72" t="str">
        <f t="shared" ref="I76:I98" si="5">IF(AND(OR(C76=C75,C76=C77),C76&lt;&gt;0),"TIE","")</f>
        <v/>
      </c>
      <c r="R76" s="45">
        <f t="shared" ref="R76:R99" si="6">IF(G76=$R$75,D76,0)</f>
        <v>0</v>
      </c>
      <c r="S76" s="45">
        <f t="shared" ref="S76:S99" si="7">IF(G76=$S$75,D76,0)</f>
        <v>0</v>
      </c>
      <c r="T76" s="73" t="str">
        <f t="shared" ref="T76:T99" si="8">G76&amp;H76</f>
        <v>HCP</v>
      </c>
    </row>
    <row r="77" spans="1:20" x14ac:dyDescent="0.25">
      <c r="C77" s="67">
        <f>IF(E77&lt;1,0,IF(INT(E77*100)=INT(E76*100),C76,2))</f>
        <v>2</v>
      </c>
      <c r="D77" s="68">
        <f>IF(OR(C77&lt;1,H77&lt;&gt;"",COUNTIF(T$76:T77,T77)&gt;3),"",VLOOKUP(C77-COUNTA(H$76:H77),DD!$E$24:$F$49,2))</f>
        <v>14</v>
      </c>
      <c r="E77" s="69">
        <f>IF(LARGE($R$2:$R$25,2)&lt;1,0,LARGE($R$2:$R$25,2))</f>
        <v>60.000000999999997</v>
      </c>
      <c r="F77" s="70" t="str">
        <f t="shared" si="3"/>
        <v>Aidan Hunziker</v>
      </c>
      <c r="G77" s="68" t="str">
        <f t="shared" si="4"/>
        <v>BHILL</v>
      </c>
      <c r="H77" s="71"/>
      <c r="I77" s="72" t="str">
        <f t="shared" si="5"/>
        <v/>
      </c>
      <c r="R77" s="45">
        <f t="shared" si="6"/>
        <v>0</v>
      </c>
      <c r="S77" s="45">
        <f t="shared" si="7"/>
        <v>0</v>
      </c>
      <c r="T77" s="73" t="str">
        <f t="shared" si="8"/>
        <v>BHILL</v>
      </c>
    </row>
    <row r="78" spans="1:20" x14ac:dyDescent="0.25">
      <c r="C78" s="67">
        <f>IF(E78&lt;1,0,IF(INT(E78*100)=INT(E77*100),C77,3))</f>
        <v>3</v>
      </c>
      <c r="D78" s="68">
        <f>IF(OR(C78&lt;1,H78&lt;&gt;"",COUNTIF(T$76:T78,T78)&gt;3),"",VLOOKUP(C78-COUNTA(H$76:H78),DD!$E$24:$F$49,2))</f>
        <v>12</v>
      </c>
      <c r="E78" s="69">
        <f>IF(LARGE($R$2:$R$25,3)&lt;1,0,LARGE($R$2:$R$25,3))</f>
        <v>54.200023000000002</v>
      </c>
      <c r="F78" s="70" t="str">
        <f t="shared" si="3"/>
        <v>Noah Akrivos</v>
      </c>
      <c r="G78" s="68" t="str">
        <f t="shared" si="4"/>
        <v>WLRC</v>
      </c>
      <c r="H78" s="71"/>
      <c r="I78" s="72" t="str">
        <f t="shared" si="5"/>
        <v/>
      </c>
      <c r="R78" s="45">
        <f t="shared" si="6"/>
        <v>0</v>
      </c>
      <c r="S78" s="45">
        <f t="shared" si="7"/>
        <v>0</v>
      </c>
      <c r="T78" s="73" t="str">
        <f t="shared" si="8"/>
        <v>WLRC</v>
      </c>
    </row>
    <row r="79" spans="1:20" x14ac:dyDescent="0.25">
      <c r="C79" s="67">
        <f>IF(E79&lt;1,0,IF(INT(E79*100)=INT(E78*100),C78,4))</f>
        <v>4</v>
      </c>
      <c r="D79" s="68">
        <f>IF(OR(C79&lt;1,H79&lt;&gt;"",COUNTIF(T$76:T79,T79)&gt;3),"",VLOOKUP(C79-COUNTA(H$76:H79),DD!$E$24:$F$49,2))</f>
        <v>11</v>
      </c>
      <c r="E79" s="69">
        <f>IF(LARGE($R$2:$R$25,4)&lt;1,0,LARGE($R$2:$R$25,4))</f>
        <v>53.700004999999997</v>
      </c>
      <c r="F79" s="70" t="str">
        <f t="shared" si="3"/>
        <v>Cale Robinson</v>
      </c>
      <c r="G79" s="68" t="str">
        <f t="shared" si="4"/>
        <v>BHILL</v>
      </c>
      <c r="H79" s="71"/>
      <c r="I79" s="72" t="str">
        <f t="shared" si="5"/>
        <v/>
      </c>
      <c r="R79" s="45">
        <f t="shared" si="6"/>
        <v>0</v>
      </c>
      <c r="S79" s="45">
        <f t="shared" si="7"/>
        <v>0</v>
      </c>
      <c r="T79" s="73" t="str">
        <f t="shared" si="8"/>
        <v>BHILL</v>
      </c>
    </row>
    <row r="80" spans="1:20" x14ac:dyDescent="0.25">
      <c r="C80" s="67">
        <f>IF(E80&lt;1,0,IF(INT(E80*100)=INT(E79*100),C79,5))</f>
        <v>5</v>
      </c>
      <c r="D80" s="68">
        <f>IF(OR(C80&lt;1,H80&lt;&gt;"",COUNTIF(T$76:T80,T80)&gt;3),"",VLOOKUP(C80-COUNTA(H$76:H80),DD!$E$24:$F$49,2))</f>
        <v>10</v>
      </c>
      <c r="E80" s="69">
        <f>IF(LARGE($R$2:$R$25,5)&lt;1,0,LARGE($R$2:$R$25,5))</f>
        <v>53.450013000000006</v>
      </c>
      <c r="F80" s="70" t="str">
        <f t="shared" si="3"/>
        <v>Finley Marchand</v>
      </c>
      <c r="G80" s="68" t="str">
        <f t="shared" si="4"/>
        <v>Cedar</v>
      </c>
      <c r="H80" s="71"/>
      <c r="I80" s="72" t="str">
        <f t="shared" si="5"/>
        <v/>
      </c>
      <c r="R80" s="45">
        <f t="shared" si="6"/>
        <v>0</v>
      </c>
      <c r="S80" s="45">
        <f t="shared" si="7"/>
        <v>0</v>
      </c>
      <c r="T80" s="73" t="str">
        <f t="shared" si="8"/>
        <v>Cedar</v>
      </c>
    </row>
    <row r="81" spans="3:20" x14ac:dyDescent="0.25">
      <c r="C81" s="67">
        <f>IF(E81&lt;1,0,IF(INT(E81*100)=INT(E80*100),C80,6))</f>
        <v>6</v>
      </c>
      <c r="D81" s="68">
        <f>IF(OR(C81&lt;1,H81&lt;&gt;"",COUNTIF(T$76:T81,T81)&gt;3),"",VLOOKUP(C81-COUNTA(H$76:H81),DD!$E$24:$F$49,2))</f>
        <v>9</v>
      </c>
      <c r="E81" s="69">
        <f>IF(LARGE($R$2:$R$25,6)&lt;1,0,LARGE($R$2:$R$25,6))</f>
        <v>50.850006999999998</v>
      </c>
      <c r="F81" s="70" t="str">
        <f t="shared" si="3"/>
        <v>Cooper MacDonnell</v>
      </c>
      <c r="G81" s="68" t="str">
        <f t="shared" si="4"/>
        <v>Val</v>
      </c>
      <c r="H81" s="71"/>
      <c r="I81" s="72" t="str">
        <f t="shared" si="5"/>
        <v/>
      </c>
      <c r="R81" s="45">
        <f t="shared" si="6"/>
        <v>0</v>
      </c>
      <c r="S81" s="45">
        <f t="shared" si="7"/>
        <v>0</v>
      </c>
      <c r="T81" s="73" t="str">
        <f t="shared" si="8"/>
        <v>Val</v>
      </c>
    </row>
    <row r="82" spans="3:20" x14ac:dyDescent="0.25">
      <c r="C82" s="67">
        <f>IF(E82&lt;1,0,IF(INT(E82*100)=INT(E81*100),C81,7))</f>
        <v>7</v>
      </c>
      <c r="D82" s="68">
        <f>IF(OR(C82&lt;1,H82&lt;&gt;"",COUNTIF(T$76:T82,T82)&gt;3),"",VLOOKUP(C82-COUNTA(H$76:H82),DD!$E$24:$F$49,2))</f>
        <v>7</v>
      </c>
      <c r="E82" s="69">
        <f>IF(LARGE($R$2:$R$25,7)&lt;1,0,LARGE($R$2:$R$25,7))</f>
        <v>50.800011999999995</v>
      </c>
      <c r="F82" s="70" t="str">
        <f t="shared" si="3"/>
        <v>Farbod Pahlavan</v>
      </c>
      <c r="G82" s="68" t="str">
        <f t="shared" si="4"/>
        <v>BHILL</v>
      </c>
      <c r="H82" s="71"/>
      <c r="I82" s="72" t="str">
        <f t="shared" si="5"/>
        <v/>
      </c>
      <c r="R82" s="45">
        <f t="shared" si="6"/>
        <v>0</v>
      </c>
      <c r="S82" s="45">
        <f t="shared" si="7"/>
        <v>0</v>
      </c>
      <c r="T82" s="73" t="str">
        <f t="shared" si="8"/>
        <v>BHILL</v>
      </c>
    </row>
    <row r="83" spans="3:20" x14ac:dyDescent="0.25">
      <c r="C83" s="67">
        <f>IF(E83&lt;1,0,IF(INT(E83*100)=INT(E82*100),C82,8))</f>
        <v>8</v>
      </c>
      <c r="D83" s="68">
        <f>IF(OR(C83&lt;1,H83&lt;&gt;"",COUNTIF(T$76:T83,T83)&gt;3),"",VLOOKUP(C83-COUNTA(H$76:H83),DD!$E$24:$F$49,2))</f>
        <v>5</v>
      </c>
      <c r="E83" s="69">
        <f>IF(LARGE($R$2:$R$25,8)&lt;1,0,LARGE($R$2:$R$25,8))</f>
        <v>48.600009999999997</v>
      </c>
      <c r="F83" s="70" t="str">
        <f t="shared" si="3"/>
        <v>Samuel Caron Madran</v>
      </c>
      <c r="G83" s="68" t="str">
        <f t="shared" si="4"/>
        <v>Beau</v>
      </c>
      <c r="H83" s="71"/>
      <c r="I83" s="72" t="str">
        <f t="shared" si="5"/>
        <v/>
      </c>
      <c r="R83" s="45">
        <f t="shared" si="6"/>
        <v>0</v>
      </c>
      <c r="S83" s="45">
        <f t="shared" si="7"/>
        <v>0</v>
      </c>
      <c r="T83" s="73" t="str">
        <f t="shared" si="8"/>
        <v>Beau</v>
      </c>
    </row>
    <row r="84" spans="3:20" x14ac:dyDescent="0.25">
      <c r="C84" s="67">
        <f>IF(E84&lt;1,0,IF(INT(E84*100)=INT(E83*100),C83,9))</f>
        <v>9</v>
      </c>
      <c r="D84" s="68">
        <f>IF(OR(C84&lt;1,H84&lt;&gt;"",COUNTIF(T$76:T84,T84)&gt;3),"",VLOOKUP(C84-COUNTA(H$76:H84),DD!$E$24:$F$49,2))</f>
        <v>4</v>
      </c>
      <c r="E84" s="69">
        <f>IF(LARGE($R$2:$R$25,9)&lt;1,0,LARGE($R$2:$R$25,9))</f>
        <v>46.750019000000002</v>
      </c>
      <c r="F84" s="70" t="str">
        <f t="shared" si="3"/>
        <v>Luke Auger</v>
      </c>
      <c r="G84" s="68" t="str">
        <f t="shared" si="4"/>
        <v>Cedar</v>
      </c>
      <c r="H84" s="71"/>
      <c r="I84" s="72" t="str">
        <f t="shared" si="5"/>
        <v/>
      </c>
      <c r="R84" s="45">
        <f t="shared" si="6"/>
        <v>0</v>
      </c>
      <c r="S84" s="45">
        <f t="shared" si="7"/>
        <v>0</v>
      </c>
      <c r="T84" s="73" t="str">
        <f t="shared" si="8"/>
        <v>Cedar</v>
      </c>
    </row>
    <row r="85" spans="3:20" x14ac:dyDescent="0.25">
      <c r="C85" s="67">
        <f>IF(E85&lt;1,0,IF(INT(E85*100)=INT(E84*100),C84,10))</f>
        <v>10</v>
      </c>
      <c r="D85" s="68">
        <f>IF(OR(C85&lt;1,H85&lt;&gt;"",COUNTIF(T$76:T85,T85)&gt;3),"",VLOOKUP(C85-COUNTA(H$76:H85),DD!$E$24:$F$49,2))</f>
        <v>3</v>
      </c>
      <c r="E85" s="69">
        <f>IF(LARGE($R$2:$R$25,10)&lt;1,0,LARGE($R$2:$R$25,10))</f>
        <v>43.950021</v>
      </c>
      <c r="F85" s="70" t="str">
        <f t="shared" si="3"/>
        <v>Malcolm Hillier</v>
      </c>
      <c r="G85" s="68" t="str">
        <f t="shared" si="4"/>
        <v>Cedar</v>
      </c>
      <c r="H85" s="71"/>
      <c r="I85" s="72" t="str">
        <f t="shared" si="5"/>
        <v/>
      </c>
      <c r="R85" s="45">
        <f t="shared" si="6"/>
        <v>0</v>
      </c>
      <c r="S85" s="45">
        <f t="shared" si="7"/>
        <v>0</v>
      </c>
      <c r="T85" s="73" t="str">
        <f t="shared" si="8"/>
        <v>Cedar</v>
      </c>
    </row>
    <row r="86" spans="3:20" x14ac:dyDescent="0.25">
      <c r="C86" s="67">
        <f>IF(E86&lt;1,0,IF(INT(E86*100)=INT(E85*100),C85,11))</f>
        <v>11</v>
      </c>
      <c r="D86" s="68">
        <f>IF(OR(C86&lt;1,H86&lt;&gt;"",COUNTIF(T$76:T86,T86)&gt;3),"",VLOOKUP(C86-COUNTA(H$76:H86),DD!$E$24:$F$49,2))</f>
        <v>2</v>
      </c>
      <c r="E86" s="69">
        <f>IF(LARGE($R$2:$R$25,11)&lt;1,0,LARGE($R$2:$R$25,11))</f>
        <v>43.250022000000001</v>
      </c>
      <c r="F86" s="70" t="str">
        <f t="shared" si="3"/>
        <v>Nathan Ip</v>
      </c>
      <c r="G86" s="68" t="str">
        <f t="shared" si="4"/>
        <v>HCP</v>
      </c>
      <c r="H86" s="71"/>
      <c r="I86" s="72" t="str">
        <f t="shared" si="5"/>
        <v/>
      </c>
      <c r="R86" s="45">
        <f t="shared" si="6"/>
        <v>0</v>
      </c>
      <c r="S86" s="45">
        <f t="shared" si="7"/>
        <v>0</v>
      </c>
      <c r="T86" s="73" t="str">
        <f t="shared" si="8"/>
        <v>HCP</v>
      </c>
    </row>
    <row r="87" spans="3:20" x14ac:dyDescent="0.25">
      <c r="C87" s="67">
        <f>IF(E87&lt;1,0,IF(INT(E87*100)=INT(E86*100),C86,12))</f>
        <v>12</v>
      </c>
      <c r="D87" s="68">
        <f>IF(OR(C87&lt;1,H87&lt;&gt;"",COUNTIF(T$76:T87,T87)&gt;3),"",VLOOKUP(C87-COUNTA(H$76:H87),DD!$E$24:$F$49,2))</f>
        <v>1</v>
      </c>
      <c r="E87" s="69">
        <f>IF(LARGE($R$2:$R$25,12)&lt;1,0,LARGE($R$2:$R$25,12))</f>
        <v>42.550002999999997</v>
      </c>
      <c r="F87" s="70" t="str">
        <f t="shared" si="3"/>
        <v>Justin Wener</v>
      </c>
      <c r="G87" s="68" t="str">
        <f t="shared" si="4"/>
        <v>MWAC</v>
      </c>
      <c r="H87" s="71"/>
      <c r="I87" s="72" t="str">
        <f t="shared" si="5"/>
        <v/>
      </c>
      <c r="R87" s="45">
        <f t="shared" si="6"/>
        <v>0</v>
      </c>
      <c r="S87" s="45">
        <f t="shared" si="7"/>
        <v>0</v>
      </c>
      <c r="T87" s="73" t="str">
        <f t="shared" si="8"/>
        <v>MWAC</v>
      </c>
    </row>
    <row r="88" spans="3:20" x14ac:dyDescent="0.25">
      <c r="C88" s="67">
        <f>IF(E88&lt;1,0,IF(INT(E88*100)=INT(E87*100),C87,13))</f>
        <v>13</v>
      </c>
      <c r="D88" s="68">
        <f>IF(OR(C88&lt;1,H88&lt;&gt;"",COUNTIF(T$76:T88,T88)&gt;3),"",VLOOKUP(C88-COUNTA(H$76:H88),DD!$E$24:$F$49,2))</f>
        <v>0</v>
      </c>
      <c r="E88" s="69">
        <f>IF(LARGE($R$2:$R$25,13)&lt;1,0,LARGE($R$2:$R$25,13))</f>
        <v>42.150017000000005</v>
      </c>
      <c r="F88" s="70" t="str">
        <f t="shared" si="3"/>
        <v>Liam Wilds</v>
      </c>
      <c r="G88" s="68" t="str">
        <f t="shared" si="4"/>
        <v>Val</v>
      </c>
      <c r="H88" s="71"/>
      <c r="I88" s="72" t="str">
        <f t="shared" si="5"/>
        <v/>
      </c>
      <c r="R88" s="45">
        <f t="shared" si="6"/>
        <v>0</v>
      </c>
      <c r="S88" s="45">
        <f t="shared" si="7"/>
        <v>0</v>
      </c>
      <c r="T88" s="73" t="str">
        <f t="shared" si="8"/>
        <v>Val</v>
      </c>
    </row>
    <row r="89" spans="3:20" x14ac:dyDescent="0.25">
      <c r="C89" s="67">
        <f>IF(E89&lt;1,0,IF(INT(E89*100)=INT(E88*100),C88,14))</f>
        <v>14</v>
      </c>
      <c r="D89" s="68">
        <f>IF(OR(C89&lt;1,H89&lt;&gt;"",COUNTIF(T$76:T89,T89)&gt;3),"",VLOOKUP(C89-COUNTA(H$76:H89),DD!$E$24:$F$49,2))</f>
        <v>0</v>
      </c>
      <c r="E89" s="69">
        <f>IF(LARGE($R$2:$R$25,14)&lt;1,0,LARGE($R$2:$R$25,14))</f>
        <v>41.700018</v>
      </c>
      <c r="F89" s="70" t="str">
        <f t="shared" si="3"/>
        <v>Logan Myles</v>
      </c>
      <c r="G89" s="68" t="str">
        <f t="shared" si="4"/>
        <v>VIK</v>
      </c>
      <c r="H89" s="71"/>
      <c r="I89" s="72" t="str">
        <f t="shared" si="5"/>
        <v/>
      </c>
      <c r="R89" s="45">
        <f t="shared" si="6"/>
        <v>0</v>
      </c>
      <c r="S89" s="45">
        <f t="shared" si="7"/>
        <v>0</v>
      </c>
      <c r="T89" s="73" t="str">
        <f t="shared" si="8"/>
        <v>VIK</v>
      </c>
    </row>
    <row r="90" spans="3:20" x14ac:dyDescent="0.25">
      <c r="C90" s="67">
        <f>IF(E90&lt;1,0,IF(INT(E90*100)=INT(E89*100),C89,15))</f>
        <v>15</v>
      </c>
      <c r="D90" s="68">
        <f>IF(OR(C90&lt;1,H90&lt;&gt;"",COUNTIF(T$76:T90,T90)&gt;3),"",VLOOKUP(C90-COUNTA(H$76:H90),DD!$E$24:$F$49,2))</f>
        <v>0</v>
      </c>
      <c r="E90" s="69">
        <f>IF(LARGE($R$2:$R$25,15)&lt;1,0,LARGE($R$2:$R$25,15))</f>
        <v>40.350024000000005</v>
      </c>
      <c r="F90" s="70" t="str">
        <f t="shared" si="3"/>
        <v>Oliver Sevigny</v>
      </c>
      <c r="G90" s="68" t="str">
        <f t="shared" si="4"/>
        <v>Beau</v>
      </c>
      <c r="H90" s="71"/>
      <c r="I90" s="72" t="str">
        <f t="shared" si="5"/>
        <v/>
      </c>
      <c r="R90" s="45">
        <f t="shared" si="6"/>
        <v>0</v>
      </c>
      <c r="S90" s="45">
        <f t="shared" si="7"/>
        <v>0</v>
      </c>
      <c r="T90" s="73" t="str">
        <f t="shared" si="8"/>
        <v>Beau</v>
      </c>
    </row>
    <row r="91" spans="3:20" x14ac:dyDescent="0.25">
      <c r="C91" s="67">
        <f>IF(E91&lt;1,0,IF(INT(E91*100)=INT(E90*100),C90,16))</f>
        <v>16</v>
      </c>
      <c r="D91" s="68">
        <f>IF(OR(C91&lt;1,H91&lt;&gt;"",COUNTIF(T$76:T91,T91)&gt;3),"",VLOOKUP(C91-COUNTA(H$76:H91),DD!$E$24:$F$49,2))</f>
        <v>0</v>
      </c>
      <c r="E91" s="69">
        <f>IF(LARGE($R$2:$R$25,16)&lt;1,0,LARGE($R$2:$R$25,16))</f>
        <v>38.650008999999997</v>
      </c>
      <c r="F91" s="70" t="str">
        <f t="shared" si="3"/>
        <v>Edward Derocher</v>
      </c>
      <c r="G91" s="68" t="str">
        <f t="shared" si="4"/>
        <v>HCP</v>
      </c>
      <c r="H91" s="71"/>
      <c r="I91" s="72" t="str">
        <f t="shared" si="5"/>
        <v/>
      </c>
      <c r="R91" s="45">
        <f t="shared" si="6"/>
        <v>0</v>
      </c>
      <c r="S91" s="45">
        <f t="shared" si="7"/>
        <v>0</v>
      </c>
      <c r="T91" s="73" t="str">
        <f t="shared" si="8"/>
        <v>HCP</v>
      </c>
    </row>
    <row r="92" spans="3:20" x14ac:dyDescent="0.25">
      <c r="C92" s="67">
        <f>IF(E92&lt;1,0,IF(INT(E92*100)=INT(E91*100),C91,17))</f>
        <v>17</v>
      </c>
      <c r="D92" s="68">
        <f>IF(OR(C92&lt;1,H92&lt;&gt;"",COUNTIF(T$76:T92,T92)&gt;3),"",VLOOKUP(C92-COUNTA(H$76:H92),DD!$E$24:$F$49,2))</f>
        <v>0</v>
      </c>
      <c r="E92" s="69">
        <f>IF(LARGE($R$2:$R$25,17)&lt;1,0,LARGE($R$2:$R$25,17))</f>
        <v>37.700014000000003</v>
      </c>
      <c r="F92" s="70" t="str">
        <f t="shared" si="3"/>
        <v>Zachary Sevigny</v>
      </c>
      <c r="G92" s="68" t="str">
        <f t="shared" si="4"/>
        <v>Beau</v>
      </c>
      <c r="H92" s="71"/>
      <c r="I92" s="72" t="str">
        <f t="shared" si="5"/>
        <v/>
      </c>
      <c r="R92" s="45">
        <f t="shared" si="6"/>
        <v>0</v>
      </c>
      <c r="S92" s="45">
        <f t="shared" si="7"/>
        <v>0</v>
      </c>
      <c r="T92" s="73" t="str">
        <f t="shared" si="8"/>
        <v>Beau</v>
      </c>
    </row>
    <row r="93" spans="3:20" x14ac:dyDescent="0.25">
      <c r="C93" s="67">
        <f>IF(E93&lt;1,0,IF(INT(E93*100)=INT(E92*100),C92,18))</f>
        <v>18</v>
      </c>
      <c r="D93" s="68">
        <f>IF(OR(C93&lt;1,H93&lt;&gt;"",COUNTIF(T$76:T93,T93)&gt;3),"",VLOOKUP(C93-COUNTA(H$76:H93),DD!$E$24:$F$49,2))</f>
        <v>0</v>
      </c>
      <c r="E93" s="69">
        <f>IF(LARGE($R$2:$R$25,18)&lt;1,0,LARGE($R$2:$R$25,18))</f>
        <v>35.600014999999999</v>
      </c>
      <c r="F93" s="70" t="str">
        <f t="shared" si="3"/>
        <v>Henrik Brun</v>
      </c>
      <c r="G93" s="68" t="str">
        <f t="shared" si="4"/>
        <v>SNVL</v>
      </c>
      <c r="H93" s="71"/>
      <c r="I93" s="72" t="str">
        <f t="shared" si="5"/>
        <v/>
      </c>
      <c r="R93" s="45">
        <f t="shared" si="6"/>
        <v>0</v>
      </c>
      <c r="S93" s="45">
        <f t="shared" si="7"/>
        <v>0</v>
      </c>
      <c r="T93" s="73" t="str">
        <f t="shared" si="8"/>
        <v>SNVL</v>
      </c>
    </row>
    <row r="94" spans="3:20" x14ac:dyDescent="0.25">
      <c r="C94" s="67">
        <f>IF(E94&lt;1,0,IF(INT(E94*100)=INT(E93*100),C93,19))</f>
        <v>19</v>
      </c>
      <c r="D94" s="68">
        <f>IF(OR(C94&lt;1,H94&lt;&gt;"",COUNTIF(T$76:T94,T94)&gt;3),"",VLOOKUP(C94-COUNTA(H$76:H94),DD!$E$24:$F$49,2))</f>
        <v>0</v>
      </c>
      <c r="E94" s="69">
        <f>IF(LARGE($R$2:$R$25,19)&lt;1,0,LARGE($R$2:$R$25,19))</f>
        <v>34.850006</v>
      </c>
      <c r="F94" s="70" t="str">
        <f t="shared" si="3"/>
        <v>Ethan Binet</v>
      </c>
      <c r="G94" s="68" t="str">
        <f t="shared" si="4"/>
        <v>Val</v>
      </c>
      <c r="H94" s="71"/>
      <c r="I94" s="72" t="str">
        <f t="shared" si="5"/>
        <v/>
      </c>
      <c r="R94" s="45">
        <f t="shared" si="6"/>
        <v>0</v>
      </c>
      <c r="S94" s="45">
        <f t="shared" si="7"/>
        <v>0</v>
      </c>
      <c r="T94" s="73" t="str">
        <f t="shared" si="8"/>
        <v>Val</v>
      </c>
    </row>
    <row r="95" spans="3:20" x14ac:dyDescent="0.25">
      <c r="C95" s="67">
        <f>IF(E95&lt;1,0,IF(INT(E95*100)=INT(E94*100),C94,20))</f>
        <v>20</v>
      </c>
      <c r="D95" s="68" t="str">
        <f>IF(OR(C95&lt;1,H95&lt;&gt;"",COUNTIF(T$76:T95,T95)&gt;3),"",VLOOKUP(C95-COUNTA(H$76:H95),DD!$E$24:$F$49,2))</f>
        <v/>
      </c>
      <c r="E95" s="69">
        <f>IF(LARGE($R$2:$R$25,20)&lt;1,0,LARGE($R$2:$R$25,20))</f>
        <v>34.200008000000004</v>
      </c>
      <c r="F95" s="70" t="str">
        <f t="shared" si="3"/>
        <v>Reid Geffroy</v>
      </c>
      <c r="G95" s="68" t="str">
        <f t="shared" si="4"/>
        <v>Val</v>
      </c>
      <c r="H95" s="71"/>
      <c r="I95" s="72" t="str">
        <f t="shared" si="5"/>
        <v/>
      </c>
      <c r="R95" s="45">
        <f t="shared" si="6"/>
        <v>0</v>
      </c>
      <c r="S95" s="45">
        <f t="shared" si="7"/>
        <v>0</v>
      </c>
      <c r="T95" s="73" t="str">
        <f t="shared" si="8"/>
        <v>Val</v>
      </c>
    </row>
    <row r="96" spans="3:20" x14ac:dyDescent="0.25">
      <c r="C96" s="67">
        <f>IF(E96&lt;1,0,IF(INT(E96*100)=INT(E95*100),C95,21))</f>
        <v>21</v>
      </c>
      <c r="D96" s="68">
        <f>IF(OR(C96&lt;1,H96&lt;&gt;"",COUNTIF(T$76:T96,T96)&gt;3),"",VLOOKUP(C96-COUNTA(H$76:H96),DD!$E$24:$F$49,2))</f>
        <v>0</v>
      </c>
      <c r="E96" s="69">
        <f>IF(LARGE($R$2:$R$25,21)&lt;1,0,LARGE($R$2:$R$25,21))</f>
        <v>33.900019999999998</v>
      </c>
      <c r="F96" s="70" t="str">
        <f t="shared" si="3"/>
        <v>Louis Dubois</v>
      </c>
      <c r="G96" s="68" t="str">
        <f t="shared" si="4"/>
        <v>VIK</v>
      </c>
      <c r="H96" s="71"/>
      <c r="I96" s="72" t="str">
        <f t="shared" si="5"/>
        <v/>
      </c>
      <c r="R96" s="45">
        <f t="shared" si="6"/>
        <v>0</v>
      </c>
      <c r="S96" s="45">
        <f t="shared" si="7"/>
        <v>0</v>
      </c>
      <c r="T96" s="73" t="str">
        <f t="shared" si="8"/>
        <v>VIK</v>
      </c>
    </row>
    <row r="97" spans="3:20" x14ac:dyDescent="0.25">
      <c r="C97" s="67">
        <f>IF(E97&lt;1,0,IF(INT(E97*100)=INT(E96*100),C96,22))</f>
        <v>22</v>
      </c>
      <c r="D97" s="68" t="str">
        <f>IF(OR(C97&lt;1,H97&lt;&gt;"",COUNTIF(T$76:T97,T97)&gt;3),"",VLOOKUP(C97-COUNTA(H$76:H97),DD!$E$24:$F$49,2))</f>
        <v/>
      </c>
      <c r="E97" s="69">
        <f>IF(LARGE($R$2:$R$25,22)&lt;1,0,LARGE($R$2:$R$25,22))</f>
        <v>28.200011</v>
      </c>
      <c r="F97" s="70" t="str">
        <f t="shared" si="3"/>
        <v>Ryan Auger</v>
      </c>
      <c r="G97" s="68" t="str">
        <f t="shared" si="4"/>
        <v>Cedar</v>
      </c>
      <c r="H97" s="71"/>
      <c r="I97" s="72" t="str">
        <f t="shared" si="5"/>
        <v/>
      </c>
      <c r="R97" s="45">
        <f t="shared" si="6"/>
        <v>0</v>
      </c>
      <c r="S97" s="45">
        <f t="shared" si="7"/>
        <v>0</v>
      </c>
      <c r="T97" s="73" t="str">
        <f t="shared" si="8"/>
        <v>Cedar</v>
      </c>
    </row>
    <row r="98" spans="3:20" x14ac:dyDescent="0.25">
      <c r="C98" s="67">
        <f>IF(E98&lt;1,0,IF(INT(E98*100)=INT(E97*100),C97,23))</f>
        <v>23</v>
      </c>
      <c r="D98" s="68" t="str">
        <f>IF(OR(C98&lt;1,H98&lt;&gt;"",COUNTIF(T$76:T98,T98)&gt;3),"",VLOOKUP(C98-COUNTA(H$76:H98),DD!$E$24:$F$49,2))</f>
        <v/>
      </c>
      <c r="E98" s="69">
        <f>IF(LARGE($R$2:$R$25,23)&lt;1,0,LARGE($R$2:$R$25,23))</f>
        <v>27.500001999999999</v>
      </c>
      <c r="F98" s="70" t="str">
        <f t="shared" si="3"/>
        <v>Tyler Barnes</v>
      </c>
      <c r="G98" s="68" t="str">
        <f t="shared" si="4"/>
        <v>BHILL</v>
      </c>
      <c r="H98" s="71"/>
      <c r="I98" s="72" t="str">
        <f t="shared" si="5"/>
        <v/>
      </c>
      <c r="R98" s="45">
        <f t="shared" si="6"/>
        <v>0</v>
      </c>
      <c r="S98" s="45">
        <f t="shared" si="7"/>
        <v>0</v>
      </c>
      <c r="T98" s="73" t="str">
        <f t="shared" si="8"/>
        <v>BHILL</v>
      </c>
    </row>
    <row r="99" spans="3:20" x14ac:dyDescent="0.25">
      <c r="C99" s="67">
        <f>IF(E99&lt;1,0,IF(INT(E99*100)=INT(E98*100),C98,24))</f>
        <v>0</v>
      </c>
      <c r="D99" s="68" t="str">
        <f>IF(OR(C99&lt;1,H99&lt;&gt;"",COUNTIF(T$76:T99,T99)&gt;3),"",VLOOKUP(C99-COUNTA(H$76:H99),DD!$E$24:$F$49,2))</f>
        <v/>
      </c>
      <c r="E99" s="69">
        <f>IF(LARGE($R$2:$R$25,24)&lt;1,0,LARGE($R$2:$R$25,24))</f>
        <v>0</v>
      </c>
      <c r="F99" s="70">
        <f t="shared" si="3"/>
        <v>0</v>
      </c>
      <c r="G99" s="68">
        <f t="shared" si="4"/>
        <v>0</v>
      </c>
      <c r="H99" s="71"/>
      <c r="I99" s="72" t="str">
        <f>IF(AND(C99=C98,C99&lt;&gt;0),"TIE","")</f>
        <v/>
      </c>
      <c r="R99" s="45">
        <f t="shared" si="6"/>
        <v>0</v>
      </c>
      <c r="S99" s="45">
        <f t="shared" si="7"/>
        <v>0</v>
      </c>
      <c r="T99" s="73" t="str">
        <f t="shared" si="8"/>
        <v>0</v>
      </c>
    </row>
    <row r="100" spans="3:20" x14ac:dyDescent="0.25">
      <c r="C100" s="74"/>
      <c r="D100" s="75"/>
      <c r="E100" s="76"/>
      <c r="F100" s="77"/>
      <c r="G100" s="75"/>
      <c r="H100" s="78"/>
      <c r="I100" s="79"/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1443" priority="2">
      <formula>IF(SUM(G2:G3)&gt;3.7,1,0)</formula>
    </cfRule>
  </conditionalFormatting>
  <conditionalFormatting sqref="G2">
    <cfRule type="expression" dxfId="1442" priority="3">
      <formula>IF(SUM(G2:G3)&gt;3.7,1,0)</formula>
    </cfRule>
  </conditionalFormatting>
  <conditionalFormatting sqref="E3">
    <cfRule type="expression" dxfId="1441" priority="4">
      <formula>IF(E3="",0,IF(LEFT(E3,1)=LEFT(E2,1),1,0))</formula>
    </cfRule>
  </conditionalFormatting>
  <conditionalFormatting sqref="E4">
    <cfRule type="expression" dxfId="1440" priority="5">
      <formula>IF(E4="",0,IF(OR(LEFT(E4,LEN(E4)-1)=LEFT(E3,LEN(E3)-1),LEFT(E4,LEN(E4)-1)=LEFT(E2,LEN(E2)-1)),1,0))</formula>
    </cfRule>
  </conditionalFormatting>
  <conditionalFormatting sqref="G6">
    <cfRule type="expression" dxfId="1439" priority="6">
      <formula>IF(SUM(G5:G6)&gt;3.7,1,0)</formula>
    </cfRule>
  </conditionalFormatting>
  <conditionalFormatting sqref="G5">
    <cfRule type="expression" dxfId="1438" priority="7">
      <formula>IF(SUM(G5:G6)&gt;3.7,1,0)</formula>
    </cfRule>
  </conditionalFormatting>
  <conditionalFormatting sqref="E6">
    <cfRule type="expression" dxfId="1437" priority="8">
      <formula>IF(E6="",0,IF(LEFT(E6,1)=LEFT(E5,1),1,0))</formula>
    </cfRule>
  </conditionalFormatting>
  <conditionalFormatting sqref="E7">
    <cfRule type="expression" dxfId="1436" priority="9">
      <formula>IF(E7="",0,IF(OR(LEFT(E7,LEN(E7)-1)=LEFT(E6,LEN(E6)-1),LEFT(E7,LEN(E7)-1)=LEFT(E5,LEN(E5)-1)),1,0))</formula>
    </cfRule>
  </conditionalFormatting>
  <conditionalFormatting sqref="G9">
    <cfRule type="expression" dxfId="1435" priority="10">
      <formula>IF(SUM(G8:G9)&gt;3.7,1,0)</formula>
    </cfRule>
  </conditionalFormatting>
  <conditionalFormatting sqref="G8">
    <cfRule type="expression" dxfId="1434" priority="11">
      <formula>IF(SUM(G8:G9)&gt;3.7,1,0)</formula>
    </cfRule>
  </conditionalFormatting>
  <conditionalFormatting sqref="E9">
    <cfRule type="expression" dxfId="1433" priority="12">
      <formula>IF(E9="",0,IF(LEFT(E9,1)=LEFT(E8,1),1,0))</formula>
    </cfRule>
  </conditionalFormatting>
  <conditionalFormatting sqref="E10">
    <cfRule type="expression" dxfId="1432" priority="13">
      <formula>IF(E10="",0,IF(OR(LEFT(E10,LEN(E10)-1)=LEFT(E9,LEN(E9)-1),LEFT(E10,LEN(E10)-1)=LEFT(E8,LEN(E8)-1)),1,0))</formula>
    </cfRule>
  </conditionalFormatting>
  <conditionalFormatting sqref="G12">
    <cfRule type="expression" dxfId="1431" priority="14">
      <formula>IF(SUM(G11:G12)&gt;3.7,1,0)</formula>
    </cfRule>
  </conditionalFormatting>
  <conditionalFormatting sqref="G11">
    <cfRule type="expression" dxfId="1430" priority="15">
      <formula>IF(SUM(G11:G12)&gt;3.7,1,0)</formula>
    </cfRule>
  </conditionalFormatting>
  <conditionalFormatting sqref="E12">
    <cfRule type="expression" dxfId="1429" priority="16">
      <formula>IF(E12="",0,IF(LEFT(E12,1)=LEFT(E11,1),1,0))</formula>
    </cfRule>
  </conditionalFormatting>
  <conditionalFormatting sqref="E13">
    <cfRule type="expression" dxfId="1428" priority="17">
      <formula>IF(E13="",0,IF(OR(LEFT(E13,LEN(E13)-1)=LEFT(E12,LEN(E12)-1),LEFT(E13,LEN(E13)-1)=LEFT(E11,LEN(E11)-1)),1,0))</formula>
    </cfRule>
  </conditionalFormatting>
  <conditionalFormatting sqref="G15">
    <cfRule type="expression" dxfId="1427" priority="18">
      <formula>IF(SUM(G14:G15)&gt;3.7,1,0)</formula>
    </cfRule>
  </conditionalFormatting>
  <conditionalFormatting sqref="G14">
    <cfRule type="expression" dxfId="1426" priority="19">
      <formula>IF(SUM(G14:G15)&gt;3.7,1,0)</formula>
    </cfRule>
  </conditionalFormatting>
  <conditionalFormatting sqref="E15">
    <cfRule type="expression" dxfId="1425" priority="20">
      <formula>IF(E15="",0,IF(LEFT(E15,1)=LEFT(E14,1),1,0))</formula>
    </cfRule>
  </conditionalFormatting>
  <conditionalFormatting sqref="E16">
    <cfRule type="expression" dxfId="1424" priority="21">
      <formula>IF(E16="",0,IF(OR(LEFT(E16,LEN(E16)-1)=LEFT(E15,LEN(E15)-1),LEFT(E16,LEN(E16)-1)=LEFT(E14,LEN(E14)-1)),1,0))</formula>
    </cfRule>
  </conditionalFormatting>
  <conditionalFormatting sqref="G18">
    <cfRule type="expression" dxfId="1423" priority="22">
      <formula>IF(SUM(G17:G18)&gt;3.7,1,0)</formula>
    </cfRule>
  </conditionalFormatting>
  <conditionalFormatting sqref="G17">
    <cfRule type="expression" dxfId="1422" priority="23">
      <formula>IF(SUM(G17:G18)&gt;3.7,1,0)</formula>
    </cfRule>
  </conditionalFormatting>
  <conditionalFormatting sqref="E18">
    <cfRule type="expression" dxfId="1421" priority="24">
      <formula>IF(E18="",0,IF(LEFT(E18,1)=LEFT(E17,1),1,0))</formula>
    </cfRule>
  </conditionalFormatting>
  <conditionalFormatting sqref="E19">
    <cfRule type="expression" dxfId="1420" priority="25">
      <formula>IF(E19="",0,IF(OR(LEFT(E19,LEN(E19)-1)=LEFT(E18,LEN(E18)-1),LEFT(E19,LEN(E19)-1)=LEFT(E17,LEN(E17)-1)),1,0))</formula>
    </cfRule>
  </conditionalFormatting>
  <conditionalFormatting sqref="G21">
    <cfRule type="expression" dxfId="1419" priority="26">
      <formula>IF(SUM(G20:G21)&gt;3.7,1,0)</formula>
    </cfRule>
  </conditionalFormatting>
  <conditionalFormatting sqref="G20">
    <cfRule type="expression" dxfId="1418" priority="27">
      <formula>IF(SUM(G20:G21)&gt;3.7,1,0)</formula>
    </cfRule>
  </conditionalFormatting>
  <conditionalFormatting sqref="E21">
    <cfRule type="expression" dxfId="1417" priority="28">
      <formula>IF(E21="",0,IF(LEFT(E21,1)=LEFT(E20,1),1,0))</formula>
    </cfRule>
  </conditionalFormatting>
  <conditionalFormatting sqref="E22">
    <cfRule type="expression" dxfId="1416" priority="29">
      <formula>IF(E22="",0,IF(OR(LEFT(E22,LEN(E22)-1)=LEFT(E21,LEN(E21)-1),LEFT(E22,LEN(E22)-1)=LEFT(E20,LEN(E20)-1)),1,0))</formula>
    </cfRule>
  </conditionalFormatting>
  <conditionalFormatting sqref="G24">
    <cfRule type="expression" dxfId="1415" priority="30">
      <formula>IF(SUM(G23:G24)&gt;3.7,1,0)</formula>
    </cfRule>
  </conditionalFormatting>
  <conditionalFormatting sqref="G23">
    <cfRule type="expression" dxfId="1414" priority="31">
      <formula>IF(SUM(G23:G24)&gt;3.7,1,0)</formula>
    </cfRule>
  </conditionalFormatting>
  <conditionalFormatting sqref="E24">
    <cfRule type="expression" dxfId="1413" priority="32">
      <formula>IF(E24="",0,IF(LEFT(E24,1)=LEFT(E23,1),1,0))</formula>
    </cfRule>
  </conditionalFormatting>
  <conditionalFormatting sqref="E25">
    <cfRule type="expression" dxfId="1412" priority="33">
      <formula>IF(E25="",0,IF(OR(LEFT(E25,LEN(E25)-1)=LEFT(E24,LEN(E24)-1),LEFT(E25,LEN(E25)-1)=LEFT(E23,LEN(E23)-1)),1,0))</formula>
    </cfRule>
  </conditionalFormatting>
  <conditionalFormatting sqref="G27">
    <cfRule type="expression" dxfId="1411" priority="34">
      <formula>IF(SUM(G26:G27)&gt;3.7,1,0)</formula>
    </cfRule>
  </conditionalFormatting>
  <conditionalFormatting sqref="G26">
    <cfRule type="expression" dxfId="1410" priority="35">
      <formula>IF(SUM(G26:G27)&gt;3.7,1,0)</formula>
    </cfRule>
  </conditionalFormatting>
  <conditionalFormatting sqref="E27">
    <cfRule type="expression" dxfId="1409" priority="36">
      <formula>IF(E27="",0,IF(LEFT(E27,1)=LEFT(E26,1),1,0))</formula>
    </cfRule>
  </conditionalFormatting>
  <conditionalFormatting sqref="E28">
    <cfRule type="expression" dxfId="1408" priority="37">
      <formula>IF(E28="",0,IF(OR(LEFT(E28,LEN(E28)-1)=LEFT(E27,LEN(E27)-1),LEFT(E28,LEN(E28)-1)=LEFT(E26,LEN(E26)-1)),1,0))</formula>
    </cfRule>
  </conditionalFormatting>
  <conditionalFormatting sqref="G30">
    <cfRule type="expression" dxfId="1407" priority="38">
      <formula>IF(SUM(G29:G30)&gt;3.7,1,0)</formula>
    </cfRule>
  </conditionalFormatting>
  <conditionalFormatting sqref="G29">
    <cfRule type="expression" dxfId="1406" priority="39">
      <formula>IF(SUM(G29:G30)&gt;3.7,1,0)</formula>
    </cfRule>
  </conditionalFormatting>
  <conditionalFormatting sqref="E30">
    <cfRule type="expression" dxfId="1405" priority="40">
      <formula>IF(E30="",0,IF(LEFT(E30,1)=LEFT(E29,1),1,0))</formula>
    </cfRule>
  </conditionalFormatting>
  <conditionalFormatting sqref="E31">
    <cfRule type="expression" dxfId="1404" priority="41">
      <formula>IF(E31="",0,IF(OR(LEFT(E31,LEN(E31)-1)=LEFT(E30,LEN(E30)-1),LEFT(E31,LEN(E31)-1)=LEFT(E29,LEN(E29)-1)),1,0))</formula>
    </cfRule>
  </conditionalFormatting>
  <conditionalFormatting sqref="G33">
    <cfRule type="expression" dxfId="1403" priority="42">
      <formula>IF(SUM(G32:G33)&gt;3.7,1,0)</formula>
    </cfRule>
  </conditionalFormatting>
  <conditionalFormatting sqref="G32">
    <cfRule type="expression" dxfId="1402" priority="43">
      <formula>IF(SUM(G32:G33)&gt;3.7,1,0)</formula>
    </cfRule>
  </conditionalFormatting>
  <conditionalFormatting sqref="E33">
    <cfRule type="expression" dxfId="1401" priority="44">
      <formula>IF(E33="",0,IF(LEFT(E33,1)=LEFT(E32,1),1,0))</formula>
    </cfRule>
  </conditionalFormatting>
  <conditionalFormatting sqref="E34">
    <cfRule type="expression" dxfId="1400" priority="45">
      <formula>IF(E34="",0,IF(OR(LEFT(E34,LEN(E34)-1)=LEFT(E33,LEN(E33)-1),LEFT(E34,LEN(E34)-1)=LEFT(E32,LEN(E32)-1)),1,0))</formula>
    </cfRule>
  </conditionalFormatting>
  <conditionalFormatting sqref="G36">
    <cfRule type="expression" dxfId="1399" priority="46">
      <formula>IF(SUM(G35:G36)&gt;3.7,1,0)</formula>
    </cfRule>
  </conditionalFormatting>
  <conditionalFormatting sqref="G35">
    <cfRule type="expression" dxfId="1398" priority="47">
      <formula>IF(SUM(G35:G36)&gt;3.7,1,0)</formula>
    </cfRule>
  </conditionalFormatting>
  <conditionalFormatting sqref="E36">
    <cfRule type="expression" dxfId="1397" priority="48">
      <formula>IF(E36="",0,IF(LEFT(E36,1)=LEFT(E35,1),1,0))</formula>
    </cfRule>
  </conditionalFormatting>
  <conditionalFormatting sqref="E37">
    <cfRule type="expression" dxfId="1396" priority="49">
      <formula>IF(E37="",0,IF(OR(LEFT(E37,LEN(E37)-1)=LEFT(E36,LEN(E36)-1),LEFT(E37,LEN(E37)-1)=LEFT(E35,LEN(E35)-1)),1,0))</formula>
    </cfRule>
  </conditionalFormatting>
  <conditionalFormatting sqref="G39">
    <cfRule type="expression" dxfId="1395" priority="50">
      <formula>IF(SUM(G38:G39)&gt;3.7,1,0)</formula>
    </cfRule>
  </conditionalFormatting>
  <conditionalFormatting sqref="G38">
    <cfRule type="expression" dxfId="1394" priority="51">
      <formula>IF(SUM(G38:G39)&gt;3.7,1,0)</formula>
    </cfRule>
  </conditionalFormatting>
  <conditionalFormatting sqref="E39">
    <cfRule type="expression" dxfId="1393" priority="52">
      <formula>IF(E39="",0,IF(LEFT(E39,1)=LEFT(E38,1),1,0))</formula>
    </cfRule>
  </conditionalFormatting>
  <conditionalFormatting sqref="E40">
    <cfRule type="expression" dxfId="1392" priority="53">
      <formula>IF(E40="",0,IF(OR(LEFT(E40,LEN(E40)-1)=LEFT(E39,LEN(E39)-1),LEFT(E40,LEN(E40)-1)=LEFT(E38,LEN(E38)-1)),1,0))</formula>
    </cfRule>
  </conditionalFormatting>
  <conditionalFormatting sqref="G42">
    <cfRule type="expression" dxfId="1391" priority="54">
      <formula>IF(SUM(G41:G42)&gt;3.7,1,0)</formula>
    </cfRule>
  </conditionalFormatting>
  <conditionalFormatting sqref="G41">
    <cfRule type="expression" dxfId="1390" priority="55">
      <formula>IF(SUM(G41:G42)&gt;3.7,1,0)</formula>
    </cfRule>
  </conditionalFormatting>
  <conditionalFormatting sqref="E42">
    <cfRule type="expression" dxfId="1389" priority="56">
      <formula>IF(E42="",0,IF(LEFT(E42,1)=LEFT(E41,1),1,0))</formula>
    </cfRule>
  </conditionalFormatting>
  <conditionalFormatting sqref="E43">
    <cfRule type="expression" dxfId="1388" priority="57">
      <formula>IF(E43="",0,IF(OR(LEFT(E43,LEN(E43)-1)=LEFT(E42,LEN(E42)-1),LEFT(E43,LEN(E43)-1)=LEFT(E41,LEN(E41)-1)),1,0))</formula>
    </cfRule>
  </conditionalFormatting>
  <conditionalFormatting sqref="G45">
    <cfRule type="expression" dxfId="1387" priority="58">
      <formula>IF(SUM(G44:G45)&gt;3.7,1,0)</formula>
    </cfRule>
  </conditionalFormatting>
  <conditionalFormatting sqref="G44">
    <cfRule type="expression" dxfId="1386" priority="59">
      <formula>IF(SUM(G44:G45)&gt;3.7,1,0)</formula>
    </cfRule>
  </conditionalFormatting>
  <conditionalFormatting sqref="E45">
    <cfRule type="expression" dxfId="1385" priority="60">
      <formula>IF(E45="",0,IF(LEFT(E45,1)=LEFT(E44,1),1,0))</formula>
    </cfRule>
  </conditionalFormatting>
  <conditionalFormatting sqref="E46">
    <cfRule type="expression" dxfId="1384" priority="61">
      <formula>IF(E46="",0,IF(OR(LEFT(E46,LEN(E46)-1)=LEFT(E45,LEN(E45)-1),LEFT(E46,LEN(E46)-1)=LEFT(E44,LEN(E44)-1)),1,0))</formula>
    </cfRule>
  </conditionalFormatting>
  <conditionalFormatting sqref="G48">
    <cfRule type="expression" dxfId="1383" priority="62">
      <formula>IF(SUM(G47:G48)&gt;3.7,1,0)</formula>
    </cfRule>
  </conditionalFormatting>
  <conditionalFormatting sqref="G47">
    <cfRule type="expression" dxfId="1382" priority="63">
      <formula>IF(SUM(G47:G48)&gt;3.7,1,0)</formula>
    </cfRule>
  </conditionalFormatting>
  <conditionalFormatting sqref="E48">
    <cfRule type="expression" dxfId="1381" priority="64">
      <formula>IF(E48="",0,IF(LEFT(E48,1)=LEFT(E47,1),1,0))</formula>
    </cfRule>
  </conditionalFormatting>
  <conditionalFormatting sqref="E49">
    <cfRule type="expression" dxfId="1380" priority="65">
      <formula>IF(E49="",0,IF(OR(LEFT(E49,LEN(E49)-1)=LEFT(E48,LEN(E48)-1),LEFT(E49,LEN(E49)-1)=LEFT(E47,LEN(E47)-1)),1,0))</formula>
    </cfRule>
  </conditionalFormatting>
  <conditionalFormatting sqref="G51">
    <cfRule type="expression" dxfId="1379" priority="66">
      <formula>IF(SUM(G50:G51)&gt;3.7,1,0)</formula>
    </cfRule>
  </conditionalFormatting>
  <conditionalFormatting sqref="G50">
    <cfRule type="expression" dxfId="1378" priority="67">
      <formula>IF(SUM(G50:G51)&gt;3.7,1,0)</formula>
    </cfRule>
  </conditionalFormatting>
  <conditionalFormatting sqref="E51">
    <cfRule type="expression" dxfId="1377" priority="68">
      <formula>IF(E51="",0,IF(LEFT(E51,1)=LEFT(E50,1),1,0))</formula>
    </cfRule>
  </conditionalFormatting>
  <conditionalFormatting sqref="E52">
    <cfRule type="expression" dxfId="1376" priority="69">
      <formula>IF(E52="",0,IF(OR(LEFT(E52,LEN(E52)-1)=LEFT(E51,LEN(E51)-1),LEFT(E52,LEN(E52)-1)=LEFT(E50,LEN(E50)-1)),1,0))</formula>
    </cfRule>
  </conditionalFormatting>
  <conditionalFormatting sqref="G54">
    <cfRule type="expression" dxfId="1375" priority="70">
      <formula>IF(SUM(G53:G54)&gt;3.7,1,0)</formula>
    </cfRule>
  </conditionalFormatting>
  <conditionalFormatting sqref="G53">
    <cfRule type="expression" dxfId="1374" priority="71">
      <formula>IF(SUM(G53:G54)&gt;3.7,1,0)</formula>
    </cfRule>
  </conditionalFormatting>
  <conditionalFormatting sqref="E54">
    <cfRule type="expression" dxfId="1373" priority="72">
      <formula>IF(E54="",0,IF(LEFT(E54,1)=LEFT(E53,1),1,0))</formula>
    </cfRule>
  </conditionalFormatting>
  <conditionalFormatting sqref="E55">
    <cfRule type="expression" dxfId="1372" priority="73">
      <formula>IF(E55="",0,IF(OR(LEFT(E55,LEN(E55)-1)=LEFT(E54,LEN(E54)-1),LEFT(E55,LEN(E55)-1)=LEFT(E53,LEN(E53)-1)),1,0))</formula>
    </cfRule>
  </conditionalFormatting>
  <conditionalFormatting sqref="G57">
    <cfRule type="expression" dxfId="1371" priority="74">
      <formula>IF(SUM(G56:G57)&gt;3.7,1,0)</formula>
    </cfRule>
  </conditionalFormatting>
  <conditionalFormatting sqref="G56">
    <cfRule type="expression" dxfId="1370" priority="75">
      <formula>IF(SUM(G56:G57)&gt;3.7,1,0)</formula>
    </cfRule>
  </conditionalFormatting>
  <conditionalFormatting sqref="E57">
    <cfRule type="expression" dxfId="1369" priority="76">
      <formula>IF(E57="",0,IF(LEFT(E57,1)=LEFT(E56,1),1,0))</formula>
    </cfRule>
  </conditionalFormatting>
  <conditionalFormatting sqref="E58">
    <cfRule type="expression" dxfId="1368" priority="77">
      <formula>IF(E58="",0,IF(OR(LEFT(E58,LEN(E58)-1)=LEFT(E57,LEN(E57)-1),LEFT(E58,LEN(E58)-1)=LEFT(E56,LEN(E56)-1)),1,0))</formula>
    </cfRule>
  </conditionalFormatting>
  <conditionalFormatting sqref="G60">
    <cfRule type="expression" dxfId="1367" priority="78">
      <formula>IF(SUM(G59:G60)&gt;3.7,1,0)</formula>
    </cfRule>
  </conditionalFormatting>
  <conditionalFormatting sqref="G59">
    <cfRule type="expression" dxfId="1366" priority="79">
      <formula>IF(SUM(G59:G60)&gt;3.7,1,0)</formula>
    </cfRule>
  </conditionalFormatting>
  <conditionalFormatting sqref="E60">
    <cfRule type="expression" dxfId="1365" priority="80">
      <formula>IF(E60="",0,IF(LEFT(E60,1)=LEFT(E59,1),1,0))</formula>
    </cfRule>
  </conditionalFormatting>
  <conditionalFormatting sqref="E61">
    <cfRule type="expression" dxfId="1364" priority="81">
      <formula>IF(E61="",0,IF(OR(LEFT(E61,LEN(E61)-1)=LEFT(E60,LEN(E60)-1),LEFT(E61,LEN(E61)-1)=LEFT(E59,LEN(E59)-1)),1,0))</formula>
    </cfRule>
  </conditionalFormatting>
  <conditionalFormatting sqref="G63">
    <cfRule type="expression" dxfId="1363" priority="82">
      <formula>IF(SUM(G62:G63)&gt;3.7,1,0)</formula>
    </cfRule>
  </conditionalFormatting>
  <conditionalFormatting sqref="G62">
    <cfRule type="expression" dxfId="1362" priority="83">
      <formula>IF(SUM(G62:G63)&gt;3.7,1,0)</formula>
    </cfRule>
  </conditionalFormatting>
  <conditionalFormatting sqref="E63">
    <cfRule type="expression" dxfId="1361" priority="84">
      <formula>IF(E63="",0,IF(LEFT(E63,1)=LEFT(E62,1),1,0))</formula>
    </cfRule>
  </conditionalFormatting>
  <conditionalFormatting sqref="E64">
    <cfRule type="expression" dxfId="1360" priority="85">
      <formula>IF(E64="",0,IF(OR(LEFT(E64,LEN(E64)-1)=LEFT(E63,LEN(E63)-1),LEFT(E64,LEN(E64)-1)=LEFT(E62,LEN(E62)-1)),1,0))</formula>
    </cfRule>
  </conditionalFormatting>
  <conditionalFormatting sqref="G66">
    <cfRule type="expression" dxfId="1359" priority="86">
      <formula>IF(SUM(G65:G66)&gt;3.7,1,0)</formula>
    </cfRule>
  </conditionalFormatting>
  <conditionalFormatting sqref="G65">
    <cfRule type="expression" dxfId="1358" priority="87">
      <formula>IF(SUM(G65:G66)&gt;3.7,1,0)</formula>
    </cfRule>
  </conditionalFormatting>
  <conditionalFormatting sqref="E66">
    <cfRule type="expression" dxfId="1357" priority="88">
      <formula>IF(E66="",0,IF(LEFT(E66,1)=LEFT(E65,1),1,0))</formula>
    </cfRule>
  </conditionalFormatting>
  <conditionalFormatting sqref="E67">
    <cfRule type="expression" dxfId="1356" priority="89">
      <formula>IF(E67="",0,IF(OR(LEFT(E67,LEN(E67)-1)=LEFT(E66,LEN(E66)-1),LEFT(E67,LEN(E67)-1)=LEFT(E65,LEN(E65)-1)),1,0))</formula>
    </cfRule>
  </conditionalFormatting>
  <conditionalFormatting sqref="G69">
    <cfRule type="expression" dxfId="1355" priority="90">
      <formula>IF(SUM(G68:G69)&gt;3.7,1,0)</formula>
    </cfRule>
  </conditionalFormatting>
  <conditionalFormatting sqref="G68">
    <cfRule type="expression" dxfId="1354" priority="91">
      <formula>IF(SUM(G68:G69)&gt;3.7,1,0)</formula>
    </cfRule>
  </conditionalFormatting>
  <conditionalFormatting sqref="E69">
    <cfRule type="expression" dxfId="1353" priority="92">
      <formula>IF(E69="",0,IF(LEFT(E69,1)=LEFT(E68,1),1,0))</formula>
    </cfRule>
  </conditionalFormatting>
  <conditionalFormatting sqref="E70">
    <cfRule type="expression" dxfId="1352" priority="93">
      <formula>IF(E70="",0,IF(OR(LEFT(E70,LEN(E70)-1)=LEFT(E69,LEN(E69)-1),LEFT(E70,LEN(E70)-1)=LEFT(E68,LEN(E68)-1)),1,0))</formula>
    </cfRule>
  </conditionalFormatting>
  <conditionalFormatting sqref="G72">
    <cfRule type="expression" dxfId="1351" priority="94">
      <formula>IF(SUM(G71:G72)&gt;3.7,1,0)</formula>
    </cfRule>
  </conditionalFormatting>
  <conditionalFormatting sqref="G71">
    <cfRule type="expression" dxfId="1350" priority="95">
      <formula>IF(SUM(G71:G72)&gt;3.7,1,0)</formula>
    </cfRule>
  </conditionalFormatting>
  <conditionalFormatting sqref="E72">
    <cfRule type="expression" dxfId="1349" priority="96">
      <formula>IF(E72="",0,IF(LEFT(E72,1)=LEFT(E71,1),1,0))</formula>
    </cfRule>
  </conditionalFormatting>
  <conditionalFormatting sqref="E73">
    <cfRule type="expression" dxfId="1348" priority="97">
      <formula>IF(E73="",0,IF(OR(LEFT(E73,LEN(E73)-1)=LEFT(E72,LEN(E72)-1),LEFT(E73,LEN(E73)-1)=LEFT(E71,LEN(E71)-1)),1,0))</formula>
    </cfRule>
  </conditionalFormatting>
  <dataValidations count="1">
    <dataValidation allowBlank="1" showInputMessage="1" prompt="Before you start your meet, make sure to fill in the INFO page or the automatic scoring functions WILL NOT WORK" sqref="B2:B4">
      <formula1>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C5 C8</xm:sqref>
        </x14:dataValidation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C2:C4 C6:C7 C9:C73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pane ySplit="1" topLeftCell="A86" activePane="bottomLeft" state="frozen"/>
      <selection activeCell="F1" sqref="F1"/>
      <selection pane="bottomLeft" activeCell="P70" sqref="P70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10.2851562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20" width="13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ht="15" customHeight="1" x14ac:dyDescent="0.25">
      <c r="A2" s="97">
        <v>1</v>
      </c>
      <c r="B2" s="98" t="s">
        <v>87</v>
      </c>
      <c r="C2" s="99" t="s">
        <v>88</v>
      </c>
      <c r="D2" s="46">
        <v>1</v>
      </c>
      <c r="E2" s="50" t="s">
        <v>89</v>
      </c>
      <c r="F2" s="45" t="str">
        <f>IF($E2="","",IF(ISNA(VLOOKUP($E2,DD!$A$2:$C$150,2,0)),"NO SUCH DIVE",VLOOKUP($E2,DD!$A$2:$C$150,2,0)))</f>
        <v>Front dive tuck</v>
      </c>
      <c r="G2" s="51">
        <f>IF($E2="","",IF(ISNA(VLOOKUP($E2,DD!$A$2:$C$150,3,0)),"",VLOOKUP($E2,DD!$A$2:$C$150,3,0)))</f>
        <v>1.3</v>
      </c>
      <c r="H2" s="52">
        <v>5.5</v>
      </c>
      <c r="I2" s="52">
        <v>6</v>
      </c>
      <c r="J2" s="52">
        <v>6</v>
      </c>
      <c r="K2" s="52">
        <v>6</v>
      </c>
      <c r="L2" s="52">
        <v>6.5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23.400000000000002</v>
      </c>
      <c r="O2" s="45">
        <f>IF(N2="","",N2)</f>
        <v>23.400000000000002</v>
      </c>
      <c r="R2" s="53">
        <f>O4+0.000001</f>
        <v>68.200001</v>
      </c>
      <c r="S2" s="53" t="str">
        <f>B2</f>
        <v>Alexandra Mier</v>
      </c>
      <c r="T2" s="53" t="str">
        <f>C2</f>
        <v>WLRC</v>
      </c>
    </row>
    <row r="3" spans="1:20" x14ac:dyDescent="0.25">
      <c r="A3" s="97"/>
      <c r="B3" s="98"/>
      <c r="C3" s="99"/>
      <c r="D3" s="46">
        <v>2</v>
      </c>
      <c r="E3" s="50" t="s">
        <v>58</v>
      </c>
      <c r="F3" s="45" t="str">
        <f>IF($E3="","",IF(ISNA(VLOOKUP($E3,DD!$A$2:$C$150,2,0)),"NO SUCH DIVE",VLOOKUP($E3,DD!$A$2:$C$150,2,0)))</f>
        <v>Back dive layout</v>
      </c>
      <c r="G3" s="51">
        <f>IF($E3="","",IF(ISNA(VLOOKUP($E3,DD!$A$2:$C$150,3,0)),"",VLOOKUP($E3,DD!$A$2:$C$150,3,0)))</f>
        <v>1.4</v>
      </c>
      <c r="H3" s="52">
        <v>5.5</v>
      </c>
      <c r="I3" s="52">
        <v>5.5</v>
      </c>
      <c r="J3" s="52">
        <v>5.5</v>
      </c>
      <c r="K3" s="52">
        <v>5.5</v>
      </c>
      <c r="L3" s="52">
        <v>5</v>
      </c>
      <c r="M3" s="50"/>
      <c r="N3" s="45">
        <f t="shared" si="0"/>
        <v>23.099999999999998</v>
      </c>
      <c r="O3" s="45">
        <f>IF(N3="","",N3+O2)</f>
        <v>46.5</v>
      </c>
      <c r="R3" s="53">
        <f>O7+0.000002</f>
        <v>53.550002000000006</v>
      </c>
      <c r="S3" s="53" t="str">
        <f>B5</f>
        <v>Anna Nyisztor</v>
      </c>
      <c r="T3" s="53" t="str">
        <f>C5</f>
        <v>Val</v>
      </c>
    </row>
    <row r="4" spans="1:20" x14ac:dyDescent="0.25">
      <c r="A4" s="97"/>
      <c r="B4" s="98"/>
      <c r="C4" s="99"/>
      <c r="D4" s="46">
        <v>3</v>
      </c>
      <c r="E4" s="50" t="s">
        <v>64</v>
      </c>
      <c r="F4" s="45" t="str">
        <f>IF($E4="","",IF(ISNA(VLOOKUP($E4,DD!$A$2:$C$150,2,0)),"NO SUCH DIVE",VLOOKUP($E4,DD!$A$2:$C$150,2,0)))</f>
        <v>Back dive ½ twist layout</v>
      </c>
      <c r="G4" s="46">
        <f>IF($E4="","",IF(ISNA(VLOOKUP($E4,DD!$A$2:$C$150,3,0)),"",VLOOKUP($E4,DD!$A$2:$C$150,3,0)))</f>
        <v>1.4</v>
      </c>
      <c r="H4" s="52">
        <v>5</v>
      </c>
      <c r="I4" s="52">
        <v>5.5</v>
      </c>
      <c r="J4" s="52">
        <v>5</v>
      </c>
      <c r="K4" s="52">
        <v>5.5</v>
      </c>
      <c r="L4" s="52">
        <v>4.5</v>
      </c>
      <c r="M4" s="50"/>
      <c r="N4" s="45">
        <f t="shared" si="0"/>
        <v>21.7</v>
      </c>
      <c r="O4" s="54">
        <f>IF(N4="",0,N4+O3)</f>
        <v>68.2</v>
      </c>
      <c r="R4" s="53">
        <f>O10+0.000003</f>
        <v>3.0000000000000001E-6</v>
      </c>
      <c r="S4" s="53">
        <f>B8</f>
        <v>0</v>
      </c>
      <c r="T4" s="53">
        <f>C8</f>
        <v>0</v>
      </c>
    </row>
    <row r="5" spans="1:20" ht="15" customHeight="1" x14ac:dyDescent="0.25">
      <c r="A5" s="100">
        <v>2</v>
      </c>
      <c r="B5" s="101" t="s">
        <v>90</v>
      </c>
      <c r="C5" s="102" t="s">
        <v>52</v>
      </c>
      <c r="D5" s="55">
        <v>1</v>
      </c>
      <c r="E5" s="56" t="s">
        <v>54</v>
      </c>
      <c r="F5" s="57" t="str">
        <f>IF($E5="","",IF(ISNA(VLOOKUP($E5,DD!$A$2:$C$150,2,0)),"NO SUCH DIVE",VLOOKUP($E5,DD!$A$2:$C$150,2,0)))</f>
        <v>Front dive layout</v>
      </c>
      <c r="G5" s="58">
        <f>IF($E5="","",IF(ISNA(VLOOKUP($E5,DD!$A$2:$C$150,3,0)),"",VLOOKUP($E5,DD!$A$2:$C$150,3,0)))</f>
        <v>1.3</v>
      </c>
      <c r="H5" s="59">
        <v>5</v>
      </c>
      <c r="I5" s="59">
        <v>5.5</v>
      </c>
      <c r="J5" s="59">
        <v>5.5</v>
      </c>
      <c r="K5" s="59">
        <v>5</v>
      </c>
      <c r="L5" s="59">
        <v>5</v>
      </c>
      <c r="M5" s="56"/>
      <c r="N5" s="57">
        <f t="shared" si="0"/>
        <v>20.150000000000002</v>
      </c>
      <c r="O5" s="57">
        <f>IF(N5="","",N5)</f>
        <v>20.150000000000002</v>
      </c>
      <c r="R5" s="53">
        <f>O13+0.000004</f>
        <v>35.350003999999998</v>
      </c>
      <c r="S5" s="53" t="str">
        <f>B11</f>
        <v>Clara Terziyan</v>
      </c>
      <c r="T5" s="53" t="str">
        <f>C11</f>
        <v>Cedar</v>
      </c>
    </row>
    <row r="6" spans="1:20" x14ac:dyDescent="0.25">
      <c r="A6" s="100"/>
      <c r="B6" s="101"/>
      <c r="C6" s="102"/>
      <c r="D6" s="55">
        <v>2</v>
      </c>
      <c r="E6" s="56" t="s">
        <v>58</v>
      </c>
      <c r="F6" s="57" t="str">
        <f>IF($E6="","",IF(ISNA(VLOOKUP($E6,DD!$A$2:$C$150,2,0)),"NO SUCH DIVE",VLOOKUP($E6,DD!$A$2:$C$150,2,0)))</f>
        <v>Back dive layout</v>
      </c>
      <c r="G6" s="58">
        <f>IF($E6="","",IF(ISNA(VLOOKUP($E6,DD!$A$2:$C$150,3,0)),"",VLOOKUP($E6,DD!$A$2:$C$150,3,0)))</f>
        <v>1.4</v>
      </c>
      <c r="H6" s="59">
        <v>6</v>
      </c>
      <c r="I6" s="59">
        <v>6</v>
      </c>
      <c r="J6" s="59">
        <v>5.5</v>
      </c>
      <c r="K6" s="59">
        <v>5.5</v>
      </c>
      <c r="L6" s="59">
        <v>5</v>
      </c>
      <c r="M6" s="56"/>
      <c r="N6" s="57">
        <f t="shared" si="0"/>
        <v>23.799999999999997</v>
      </c>
      <c r="O6" s="57">
        <f>IF(N6="","",N6+O5)</f>
        <v>43.95</v>
      </c>
      <c r="R6" s="53">
        <f>O16+0.000005</f>
        <v>51.400005</v>
      </c>
      <c r="S6" s="53" t="str">
        <f>B14</f>
        <v>Emily Hennon</v>
      </c>
      <c r="T6" s="53" t="str">
        <f>C14</f>
        <v>Val</v>
      </c>
    </row>
    <row r="7" spans="1:20" x14ac:dyDescent="0.25">
      <c r="A7" s="100"/>
      <c r="B7" s="101"/>
      <c r="C7" s="102"/>
      <c r="D7" s="55">
        <v>3</v>
      </c>
      <c r="E7" s="56" t="s">
        <v>45</v>
      </c>
      <c r="F7" s="57" t="str">
        <f>IF($E7="","",IF(ISNA(VLOOKUP($E7,DD!$A$2:$C$150,2,0)),"NO SUCH DIVE",VLOOKUP($E7,DD!$A$2:$C$150,2,0)))</f>
        <v>Front jump tuck</v>
      </c>
      <c r="G7" s="55">
        <f>IF($E7="","",IF(ISNA(VLOOKUP($E7,DD!$A$2:$C$150,3,0)),"",VLOOKUP($E7,DD!$A$2:$C$150,3,0)))</f>
        <v>0.6</v>
      </c>
      <c r="H7" s="59">
        <v>5.5</v>
      </c>
      <c r="I7" s="59">
        <v>5.5</v>
      </c>
      <c r="J7" s="59">
        <v>5.5</v>
      </c>
      <c r="K7" s="59">
        <v>5</v>
      </c>
      <c r="L7" s="59">
        <v>4.5</v>
      </c>
      <c r="M7" s="56"/>
      <c r="N7" s="57">
        <f t="shared" si="0"/>
        <v>9.6</v>
      </c>
      <c r="O7" s="60">
        <f>IF(N7="",0,N7+O6)</f>
        <v>53.550000000000004</v>
      </c>
      <c r="R7" s="53">
        <f>O19+0.000006</f>
        <v>65.750005999999999</v>
      </c>
      <c r="S7" s="53" t="str">
        <f>B17</f>
        <v>Emma McRobbie</v>
      </c>
      <c r="T7" s="53" t="str">
        <f>C17</f>
        <v>Cedar</v>
      </c>
    </row>
    <row r="8" spans="1:20" x14ac:dyDescent="0.25">
      <c r="A8" s="97">
        <v>3</v>
      </c>
      <c r="B8" s="98"/>
      <c r="C8" s="99"/>
      <c r="D8" s="46">
        <v>1</v>
      </c>
      <c r="E8" s="50"/>
      <c r="F8" s="45" t="str">
        <f>IF($E8="","",IF(ISNA(VLOOKUP($E8,DD!$A$2:$C$150,2,0)),"NO SUCH DIVE",VLOOKUP($E8,DD!$A$2:$C$150,2,0)))</f>
        <v/>
      </c>
      <c r="G8" s="51" t="str">
        <f>IF($E8="","",IF(ISNA(VLOOKUP($E8,DD!$A$2:$C$150,3,0)),"",VLOOKUP($E8,DD!$A$2:$C$150,3,0)))</f>
        <v/>
      </c>
      <c r="H8" s="52"/>
      <c r="I8" s="52"/>
      <c r="J8" s="52"/>
      <c r="K8" s="52"/>
      <c r="L8" s="52"/>
      <c r="M8" s="50"/>
      <c r="N8" s="45" t="str">
        <f t="shared" si="0"/>
        <v/>
      </c>
      <c r="O8" s="45" t="str">
        <f>IF(N8="","",N8)</f>
        <v/>
      </c>
      <c r="R8" s="53">
        <f>O22+0.000007</f>
        <v>38.350006999999991</v>
      </c>
      <c r="S8" s="53" t="str">
        <f>B20</f>
        <v>Emma Morello</v>
      </c>
      <c r="T8" s="53" t="str">
        <f>C20</f>
        <v>Cedar</v>
      </c>
    </row>
    <row r="9" spans="1:20" x14ac:dyDescent="0.25">
      <c r="A9" s="97"/>
      <c r="B9" s="98"/>
      <c r="C9" s="99"/>
      <c r="D9" s="46">
        <v>2</v>
      </c>
      <c r="E9" s="50"/>
      <c r="F9" s="45" t="str">
        <f>IF($E9="","",IF(ISNA(VLOOKUP($E9,DD!$A$2:$C$150,2,0)),"NO SUCH DIVE",VLOOKUP($E9,DD!$A$2:$C$150,2,0)))</f>
        <v/>
      </c>
      <c r="G9" s="51" t="str">
        <f>IF($E9="","",IF(ISNA(VLOOKUP($E9,DD!$A$2:$C$150,3,0)),"",VLOOKUP($E9,DD!$A$2:$C$150,3,0)))</f>
        <v/>
      </c>
      <c r="H9" s="52"/>
      <c r="I9" s="52"/>
      <c r="J9" s="52"/>
      <c r="K9" s="52"/>
      <c r="L9" s="52"/>
      <c r="M9" s="50"/>
      <c r="N9" s="45" t="str">
        <f t="shared" si="0"/>
        <v/>
      </c>
      <c r="O9" s="45" t="str">
        <f>IF(N9="","",N9+O8)</f>
        <v/>
      </c>
      <c r="R9" s="53">
        <f>O25+0.000008</f>
        <v>75.900008</v>
      </c>
      <c r="S9" s="53" t="str">
        <f>B23</f>
        <v>Jadyn Wener</v>
      </c>
      <c r="T9" s="53" t="str">
        <f>C23</f>
        <v>MWAC</v>
      </c>
    </row>
    <row r="10" spans="1:20" x14ac:dyDescent="0.25">
      <c r="A10" s="97"/>
      <c r="B10" s="98"/>
      <c r="C10" s="99"/>
      <c r="D10" s="46">
        <v>3</v>
      </c>
      <c r="E10" s="50"/>
      <c r="F10" s="45" t="str">
        <f>IF($E10="","",IF(ISNA(VLOOKUP($E10,DD!$A$2:$C$150,2,0)),"NO SUCH DIVE",VLOOKUP($E10,DD!$A$2:$C$150,2,0)))</f>
        <v/>
      </c>
      <c r="G10" s="46" t="str">
        <f>IF($E10="","",IF(ISNA(VLOOKUP($E10,DD!$A$2:$C$150,3,0)),"",VLOOKUP($E10,DD!$A$2:$C$150,3,0)))</f>
        <v/>
      </c>
      <c r="H10" s="52"/>
      <c r="I10" s="52"/>
      <c r="J10" s="52"/>
      <c r="K10" s="52"/>
      <c r="L10" s="52"/>
      <c r="M10" s="50"/>
      <c r="N10" s="45" t="str">
        <f t="shared" si="0"/>
        <v/>
      </c>
      <c r="O10" s="54">
        <f>IF(N10="",0,N10+O9)</f>
        <v>0</v>
      </c>
      <c r="R10" s="53">
        <f>O28+0.000009</f>
        <v>9.0000000000000002E-6</v>
      </c>
      <c r="S10" s="53">
        <f>B26</f>
        <v>0</v>
      </c>
      <c r="T10" s="53">
        <f>C26</f>
        <v>0</v>
      </c>
    </row>
    <row r="11" spans="1:20" ht="13.9" customHeight="1" x14ac:dyDescent="0.25">
      <c r="A11" s="100">
        <v>4</v>
      </c>
      <c r="B11" s="101" t="s">
        <v>91</v>
      </c>
      <c r="C11" s="102" t="s">
        <v>57</v>
      </c>
      <c r="D11" s="55">
        <v>1</v>
      </c>
      <c r="E11" s="56" t="s">
        <v>45</v>
      </c>
      <c r="F11" s="57" t="str">
        <f>IF($E11="","",IF(ISNA(VLOOKUP($E11,DD!$A$2:$C$150,2,0)),"NO SUCH DIVE",VLOOKUP($E11,DD!$A$2:$C$150,2,0)))</f>
        <v>Front jump tuck</v>
      </c>
      <c r="G11" s="58">
        <f>IF($E11="","",IF(ISNA(VLOOKUP($E11,DD!$A$2:$C$150,3,0)),"",VLOOKUP($E11,DD!$A$2:$C$150,3,0)))</f>
        <v>0.6</v>
      </c>
      <c r="H11" s="59">
        <v>5</v>
      </c>
      <c r="I11" s="59">
        <v>5.5</v>
      </c>
      <c r="J11" s="59">
        <v>5.5</v>
      </c>
      <c r="K11" s="59">
        <v>5</v>
      </c>
      <c r="L11" s="59">
        <v>5.5</v>
      </c>
      <c r="M11" s="56"/>
      <c r="N11" s="57">
        <f t="shared" si="0"/>
        <v>9.6</v>
      </c>
      <c r="O11" s="57">
        <f>IF(N11="","",N11)</f>
        <v>9.6</v>
      </c>
      <c r="R11" s="53">
        <f>O31+0.00001</f>
        <v>74.350009999999997</v>
      </c>
      <c r="S11" s="53" t="str">
        <f>B29</f>
        <v>Julia Preda</v>
      </c>
      <c r="T11" s="53" t="str">
        <f>C29</f>
        <v>Cedar</v>
      </c>
    </row>
    <row r="12" spans="1:20" x14ac:dyDescent="0.25">
      <c r="A12" s="100"/>
      <c r="B12" s="101"/>
      <c r="C12" s="102"/>
      <c r="D12" s="55">
        <v>2</v>
      </c>
      <c r="E12" s="56" t="s">
        <v>50</v>
      </c>
      <c r="F12" s="57" t="str">
        <f>IF($E12="","",IF(ISNA(VLOOKUP($E12,DD!$A$2:$C$150,2,0)),"NO SUCH DIVE",VLOOKUP($E12,DD!$A$2:$C$150,2,0)))</f>
        <v>Back jump layout</v>
      </c>
      <c r="G12" s="58">
        <f>IF($E12="","",IF(ISNA(VLOOKUP($E12,DD!$A$2:$C$150,3,0)),"",VLOOKUP($E12,DD!$A$2:$C$150,3,0)))</f>
        <v>0.5</v>
      </c>
      <c r="H12" s="59">
        <v>6</v>
      </c>
      <c r="I12" s="59">
        <v>5.5</v>
      </c>
      <c r="J12" s="59">
        <v>5</v>
      </c>
      <c r="K12" s="59">
        <v>6</v>
      </c>
      <c r="L12" s="59">
        <v>6</v>
      </c>
      <c r="M12" s="56"/>
      <c r="N12" s="57">
        <f t="shared" si="0"/>
        <v>8.75</v>
      </c>
      <c r="O12" s="57">
        <f>IF(N12="","",N12+O11)</f>
        <v>18.350000000000001</v>
      </c>
      <c r="R12" s="53">
        <f>O34+0.000011</f>
        <v>59.500011000000001</v>
      </c>
      <c r="S12" s="53" t="str">
        <f>B32</f>
        <v>Katie Chiarella</v>
      </c>
      <c r="T12" s="53" t="str">
        <f>C32</f>
        <v>PVPC</v>
      </c>
    </row>
    <row r="13" spans="1:20" x14ac:dyDescent="0.25">
      <c r="A13" s="100"/>
      <c r="B13" s="101"/>
      <c r="C13" s="102"/>
      <c r="D13" s="55">
        <v>3</v>
      </c>
      <c r="E13" s="56" t="s">
        <v>47</v>
      </c>
      <c r="F13" s="57" t="str">
        <f>IF($E13="","",IF(ISNA(VLOOKUP($E13,DD!$A$2:$C$150,2,0)),"NO SUCH DIVE",VLOOKUP($E13,DD!$A$2:$C$150,2,0)))</f>
        <v>Front fall-in</v>
      </c>
      <c r="G13" s="55">
        <f>IF($E13="","",IF(ISNA(VLOOKUP($E13,DD!$A$2:$C$150,3,0)),"",VLOOKUP($E13,DD!$A$2:$C$150,3,0)))</f>
        <v>1</v>
      </c>
      <c r="H13" s="59">
        <v>5</v>
      </c>
      <c r="I13" s="59">
        <v>5.5</v>
      </c>
      <c r="J13" s="59">
        <v>6</v>
      </c>
      <c r="K13" s="59">
        <v>6</v>
      </c>
      <c r="L13" s="59">
        <v>5.5</v>
      </c>
      <c r="M13" s="56"/>
      <c r="N13" s="57">
        <f t="shared" si="0"/>
        <v>17</v>
      </c>
      <c r="O13" s="60">
        <f>IF(N13="",0,N13+O12)</f>
        <v>35.35</v>
      </c>
      <c r="R13" s="53">
        <f>O37+0.000012</f>
        <v>59.300011999999995</v>
      </c>
      <c r="S13" s="53" t="str">
        <f>B35</f>
        <v>Kayleigh Wilds</v>
      </c>
      <c r="T13" s="53" t="str">
        <f>C35</f>
        <v>Val</v>
      </c>
    </row>
    <row r="14" spans="1:20" ht="13.9" customHeight="1" x14ac:dyDescent="0.25">
      <c r="A14" s="97">
        <v>5</v>
      </c>
      <c r="B14" s="98" t="s">
        <v>92</v>
      </c>
      <c r="C14" s="99" t="s">
        <v>52</v>
      </c>
      <c r="D14" s="46">
        <v>1</v>
      </c>
      <c r="E14" s="50" t="s">
        <v>45</v>
      </c>
      <c r="F14" s="45" t="str">
        <f>IF($E14="","",IF(ISNA(VLOOKUP($E14,DD!$A$2:$C$150,2,0)),"NO SUCH DIVE",VLOOKUP($E14,DD!$A$2:$C$150,2,0)))</f>
        <v>Front jump tuck</v>
      </c>
      <c r="G14" s="51">
        <f>IF($E14="","",IF(ISNA(VLOOKUP($E14,DD!$A$2:$C$150,3,0)),"",VLOOKUP($E14,DD!$A$2:$C$150,3,0)))</f>
        <v>0.6</v>
      </c>
      <c r="H14" s="52">
        <v>6.5</v>
      </c>
      <c r="I14" s="52">
        <v>7</v>
      </c>
      <c r="J14" s="52">
        <v>6.5</v>
      </c>
      <c r="K14" s="52">
        <v>6.5</v>
      </c>
      <c r="L14" s="52">
        <v>6.5</v>
      </c>
      <c r="M14" s="50"/>
      <c r="N14" s="45">
        <f t="shared" si="0"/>
        <v>11.7</v>
      </c>
      <c r="O14" s="45">
        <f>IF(N14="","",N14)</f>
        <v>11.7</v>
      </c>
      <c r="R14" s="53">
        <f>O40+0.000013</f>
        <v>37.350013000000004</v>
      </c>
      <c r="S14" s="53" t="str">
        <f>B38</f>
        <v>Keira Brady</v>
      </c>
      <c r="T14" s="53" t="str">
        <f>C38</f>
        <v>Cedar</v>
      </c>
    </row>
    <row r="15" spans="1:20" x14ac:dyDescent="0.25">
      <c r="A15" s="97"/>
      <c r="B15" s="98"/>
      <c r="C15" s="99"/>
      <c r="D15" s="46">
        <v>2</v>
      </c>
      <c r="E15" s="50" t="s">
        <v>64</v>
      </c>
      <c r="F15" s="45" t="str">
        <f>IF($E15="","",IF(ISNA(VLOOKUP($E15,DD!$A$2:$C$150,2,0)),"NO SUCH DIVE",VLOOKUP($E15,DD!$A$2:$C$150,2,0)))</f>
        <v>Back dive ½ twist layout</v>
      </c>
      <c r="G15" s="51">
        <f>IF($E15="","",IF(ISNA(VLOOKUP($E15,DD!$A$2:$C$150,3,0)),"",VLOOKUP($E15,DD!$A$2:$C$150,3,0)))</f>
        <v>1.4</v>
      </c>
      <c r="H15" s="52">
        <v>4.5</v>
      </c>
      <c r="I15" s="52">
        <v>4.5</v>
      </c>
      <c r="J15" s="52">
        <v>4</v>
      </c>
      <c r="K15" s="52">
        <v>4.5</v>
      </c>
      <c r="L15" s="52">
        <v>4.5</v>
      </c>
      <c r="M15" s="50"/>
      <c r="N15" s="45">
        <f t="shared" si="0"/>
        <v>18.899999999999999</v>
      </c>
      <c r="O15" s="45">
        <f>IF(N15="","",N15+O14)</f>
        <v>30.599999999999998</v>
      </c>
      <c r="R15" s="53">
        <f>O43+0.000014</f>
        <v>68.900013999999999</v>
      </c>
      <c r="S15" s="53" t="str">
        <f>B41</f>
        <v>Lilli Atkinson</v>
      </c>
      <c r="T15" s="53" t="str">
        <f>C41</f>
        <v>Side</v>
      </c>
    </row>
    <row r="16" spans="1:20" x14ac:dyDescent="0.25">
      <c r="A16" s="97"/>
      <c r="B16" s="98"/>
      <c r="C16" s="99"/>
      <c r="D16" s="46">
        <v>3</v>
      </c>
      <c r="E16" s="50" t="s">
        <v>54</v>
      </c>
      <c r="F16" s="45" t="str">
        <f>IF($E16="","",IF(ISNA(VLOOKUP($E16,DD!$A$2:$C$150,2,0)),"NO SUCH DIVE",VLOOKUP($E16,DD!$A$2:$C$150,2,0)))</f>
        <v>Front dive layout</v>
      </c>
      <c r="G16" s="46">
        <f>IF($E16="","",IF(ISNA(VLOOKUP($E16,DD!$A$2:$C$150,3,0)),"",VLOOKUP($E16,DD!$A$2:$C$150,3,0)))</f>
        <v>1.3</v>
      </c>
      <c r="H16" s="52">
        <v>5</v>
      </c>
      <c r="I16" s="52">
        <v>5.5</v>
      </c>
      <c r="J16" s="52">
        <v>5.5</v>
      </c>
      <c r="K16" s="52">
        <v>5</v>
      </c>
      <c r="L16" s="52">
        <v>5.5</v>
      </c>
      <c r="M16" s="50"/>
      <c r="N16" s="45">
        <f t="shared" si="0"/>
        <v>20.8</v>
      </c>
      <c r="O16" s="54">
        <f>IF(N16="",0,N16+O15)</f>
        <v>51.4</v>
      </c>
      <c r="R16" s="53">
        <f>O46+0.000015</f>
        <v>53.850015000000006</v>
      </c>
      <c r="S16" s="53" t="str">
        <f>B44</f>
        <v xml:space="preserve">Lily Phaneuf </v>
      </c>
      <c r="T16" s="53" t="str">
        <f>C44</f>
        <v>MWAC</v>
      </c>
    </row>
    <row r="17" spans="1:20" ht="13.9" customHeight="1" x14ac:dyDescent="0.25">
      <c r="A17" s="100">
        <v>6</v>
      </c>
      <c r="B17" s="101" t="s">
        <v>93</v>
      </c>
      <c r="C17" s="102" t="s">
        <v>57</v>
      </c>
      <c r="D17" s="55">
        <v>1</v>
      </c>
      <c r="E17" s="56" t="s">
        <v>64</v>
      </c>
      <c r="F17" s="57" t="str">
        <f>IF($E17="","",IF(ISNA(VLOOKUP($E17,DD!$A$2:$C$150,2,0)),"NO SUCH DIVE",VLOOKUP($E17,DD!$A$2:$C$150,2,0)))</f>
        <v>Back dive ½ twist layout</v>
      </c>
      <c r="G17" s="58">
        <f>IF($E17="","",IF(ISNA(VLOOKUP($E17,DD!$A$2:$C$150,3,0)),"",VLOOKUP($E17,DD!$A$2:$C$150,3,0)))</f>
        <v>1.4</v>
      </c>
      <c r="H17" s="59">
        <v>5</v>
      </c>
      <c r="I17" s="59">
        <v>6</v>
      </c>
      <c r="J17" s="59">
        <v>5</v>
      </c>
      <c r="K17" s="59">
        <v>5.5</v>
      </c>
      <c r="L17" s="59">
        <v>6</v>
      </c>
      <c r="M17" s="56"/>
      <c r="N17" s="57">
        <f t="shared" si="0"/>
        <v>23.099999999999998</v>
      </c>
      <c r="O17" s="57">
        <f>IF(N17="","",N17)</f>
        <v>23.099999999999998</v>
      </c>
      <c r="R17" s="53">
        <f>O49+0.000016</f>
        <v>1.5999999999999999E-5</v>
      </c>
      <c r="S17" s="53">
        <f>B47</f>
        <v>0</v>
      </c>
      <c r="T17" s="53">
        <f>C47</f>
        <v>0</v>
      </c>
    </row>
    <row r="18" spans="1:20" x14ac:dyDescent="0.25">
      <c r="A18" s="100"/>
      <c r="B18" s="101"/>
      <c r="C18" s="102"/>
      <c r="D18" s="55">
        <v>2</v>
      </c>
      <c r="E18" s="56" t="s">
        <v>58</v>
      </c>
      <c r="F18" s="57" t="str">
        <f>IF($E18="","",IF(ISNA(VLOOKUP($E18,DD!$A$2:$C$150,2,0)),"NO SUCH DIVE",VLOOKUP($E18,DD!$A$2:$C$150,2,0)))</f>
        <v>Back dive layout</v>
      </c>
      <c r="G18" s="58">
        <f>IF($E18="","",IF(ISNA(VLOOKUP($E18,DD!$A$2:$C$150,3,0)),"",VLOOKUP($E18,DD!$A$2:$C$150,3,0)))</f>
        <v>1.4</v>
      </c>
      <c r="H18" s="59">
        <v>5.5</v>
      </c>
      <c r="I18" s="59">
        <v>6.5</v>
      </c>
      <c r="J18" s="59">
        <v>5.5</v>
      </c>
      <c r="K18" s="59">
        <v>6</v>
      </c>
      <c r="L18" s="59">
        <v>5.5</v>
      </c>
      <c r="M18" s="56"/>
      <c r="N18" s="57">
        <f t="shared" si="0"/>
        <v>23.799999999999997</v>
      </c>
      <c r="O18" s="57">
        <f>IF(N18="","",N18+O17)</f>
        <v>46.899999999999991</v>
      </c>
      <c r="R18" s="53">
        <f>O52+0.000017</f>
        <v>48.600016999999994</v>
      </c>
      <c r="S18" s="53" t="str">
        <f>B50</f>
        <v>Mikaelle Pomerleau</v>
      </c>
      <c r="T18" s="53" t="str">
        <f>C50</f>
        <v>HCP</v>
      </c>
    </row>
    <row r="19" spans="1:20" x14ac:dyDescent="0.25">
      <c r="A19" s="100"/>
      <c r="B19" s="101"/>
      <c r="C19" s="102"/>
      <c r="D19" s="55">
        <v>3</v>
      </c>
      <c r="E19" s="56" t="s">
        <v>54</v>
      </c>
      <c r="F19" s="57" t="str">
        <f>IF($E19="","",IF(ISNA(VLOOKUP($E19,DD!$A$2:$C$150,2,0)),"NO SUCH DIVE",VLOOKUP($E19,DD!$A$2:$C$150,2,0)))</f>
        <v>Front dive layout</v>
      </c>
      <c r="G19" s="55">
        <f>IF($E19="","",IF(ISNA(VLOOKUP($E19,DD!$A$2:$C$150,3,0)),"",VLOOKUP($E19,DD!$A$2:$C$150,3,0)))</f>
        <v>1.3</v>
      </c>
      <c r="H19" s="59">
        <v>5</v>
      </c>
      <c r="I19" s="59">
        <v>6</v>
      </c>
      <c r="J19" s="59">
        <v>5</v>
      </c>
      <c r="K19" s="59">
        <v>4.5</v>
      </c>
      <c r="L19" s="59">
        <v>4.5</v>
      </c>
      <c r="M19" s="56"/>
      <c r="N19" s="57">
        <f t="shared" si="0"/>
        <v>18.850000000000001</v>
      </c>
      <c r="O19" s="60">
        <f>IF(N19="",0,N19+O18)</f>
        <v>65.75</v>
      </c>
      <c r="R19" s="53">
        <f>O55+0.000018</f>
        <v>1.8E-5</v>
      </c>
      <c r="S19" s="53">
        <f>B53</f>
        <v>0</v>
      </c>
      <c r="T19" s="53">
        <f>C53</f>
        <v>0</v>
      </c>
    </row>
    <row r="20" spans="1:20" ht="13.9" customHeight="1" x14ac:dyDescent="0.25">
      <c r="A20" s="97">
        <v>7</v>
      </c>
      <c r="B20" s="98" t="s">
        <v>94</v>
      </c>
      <c r="C20" s="99" t="s">
        <v>57</v>
      </c>
      <c r="D20" s="46">
        <v>1</v>
      </c>
      <c r="E20" s="50" t="s">
        <v>45</v>
      </c>
      <c r="F20" s="45" t="str">
        <f>IF($E20="","",IF(ISNA(VLOOKUP($E20,DD!$A$2:$C$150,2,0)),"NO SUCH DIVE",VLOOKUP($E20,DD!$A$2:$C$150,2,0)))</f>
        <v>Front jump tuck</v>
      </c>
      <c r="G20" s="51">
        <f>IF($E20="","",IF(ISNA(VLOOKUP($E20,DD!$A$2:$C$150,3,0)),"",VLOOKUP($E20,DD!$A$2:$C$150,3,0)))</f>
        <v>0.6</v>
      </c>
      <c r="H20" s="52">
        <v>6</v>
      </c>
      <c r="I20" s="52">
        <v>6.5</v>
      </c>
      <c r="J20" s="52">
        <v>6</v>
      </c>
      <c r="K20" s="52">
        <v>6</v>
      </c>
      <c r="L20" s="52">
        <v>6</v>
      </c>
      <c r="M20" s="50"/>
      <c r="N20" s="45">
        <f t="shared" si="0"/>
        <v>10.799999999999999</v>
      </c>
      <c r="O20" s="45">
        <f>IF(N20="","",N20)</f>
        <v>10.799999999999999</v>
      </c>
      <c r="R20" s="53">
        <f>O58+0.000019</f>
        <v>58.850018999999996</v>
      </c>
      <c r="S20" s="53" t="str">
        <f>B56</f>
        <v>Olivia Roy</v>
      </c>
      <c r="T20" s="53" t="str">
        <f>C56</f>
        <v>HCP</v>
      </c>
    </row>
    <row r="21" spans="1:20" x14ac:dyDescent="0.25">
      <c r="A21" s="97"/>
      <c r="B21" s="98"/>
      <c r="C21" s="99"/>
      <c r="D21" s="46">
        <v>2</v>
      </c>
      <c r="E21" s="50" t="s">
        <v>50</v>
      </c>
      <c r="F21" s="45" t="str">
        <f>IF($E21="","",IF(ISNA(VLOOKUP($E21,DD!$A$2:$C$150,2,0)),"NO SUCH DIVE",VLOOKUP($E21,DD!$A$2:$C$150,2,0)))</f>
        <v>Back jump layout</v>
      </c>
      <c r="G21" s="51">
        <f>IF($E21="","",IF(ISNA(VLOOKUP($E21,DD!$A$2:$C$150,3,0)),"",VLOOKUP($E21,DD!$A$2:$C$150,3,0)))</f>
        <v>0.5</v>
      </c>
      <c r="H21" s="52">
        <v>4.5</v>
      </c>
      <c r="I21" s="52">
        <v>4.5</v>
      </c>
      <c r="J21" s="52">
        <v>5</v>
      </c>
      <c r="K21" s="52">
        <v>4.5</v>
      </c>
      <c r="L21" s="52">
        <v>4.5</v>
      </c>
      <c r="M21" s="50"/>
      <c r="N21" s="45">
        <f t="shared" si="0"/>
        <v>6.75</v>
      </c>
      <c r="O21" s="45">
        <f>IF(N21="","",N21+O20)</f>
        <v>17.549999999999997</v>
      </c>
      <c r="R21" s="53">
        <f>O61+0.00002</f>
        <v>2.0000000000000002E-5</v>
      </c>
      <c r="S21" s="53">
        <f>B59</f>
        <v>0</v>
      </c>
      <c r="T21" s="53">
        <f>C59</f>
        <v>0</v>
      </c>
    </row>
    <row r="22" spans="1:20" x14ac:dyDescent="0.25">
      <c r="A22" s="97"/>
      <c r="B22" s="98"/>
      <c r="C22" s="99"/>
      <c r="D22" s="46">
        <v>3</v>
      </c>
      <c r="E22" s="50" t="s">
        <v>54</v>
      </c>
      <c r="F22" s="45" t="str">
        <f>IF($E22="","",IF(ISNA(VLOOKUP($E22,DD!$A$2:$C$150,2,0)),"NO SUCH DIVE",VLOOKUP($E22,DD!$A$2:$C$150,2,0)))</f>
        <v>Front dive layout</v>
      </c>
      <c r="G22" s="46">
        <f>IF($E22="","",IF(ISNA(VLOOKUP($E22,DD!$A$2:$C$150,3,0)),"",VLOOKUP($E22,DD!$A$2:$C$150,3,0)))</f>
        <v>1.3</v>
      </c>
      <c r="H22" s="52">
        <v>5.5</v>
      </c>
      <c r="I22" s="52">
        <v>6</v>
      </c>
      <c r="J22" s="52">
        <v>5.5</v>
      </c>
      <c r="K22" s="52">
        <v>5</v>
      </c>
      <c r="L22" s="52">
        <v>5</v>
      </c>
      <c r="M22" s="50"/>
      <c r="N22" s="45">
        <f t="shared" si="0"/>
        <v>20.8</v>
      </c>
      <c r="O22" s="54">
        <f>IF(N22="",0,N22+O21)</f>
        <v>38.349999999999994</v>
      </c>
      <c r="R22" s="53">
        <f>O64+0.000021</f>
        <v>81.800021000000001</v>
      </c>
      <c r="S22" s="53" t="str">
        <f>B62</f>
        <v>Sarah Nelson</v>
      </c>
      <c r="T22" s="53" t="str">
        <f>C62</f>
        <v>HCP</v>
      </c>
    </row>
    <row r="23" spans="1:20" ht="13.9" customHeight="1" x14ac:dyDescent="0.25">
      <c r="A23" s="100">
        <v>8</v>
      </c>
      <c r="B23" s="101" t="s">
        <v>95</v>
      </c>
      <c r="C23" s="102" t="s">
        <v>44</v>
      </c>
      <c r="D23" s="55">
        <v>1</v>
      </c>
      <c r="E23" s="56" t="s">
        <v>96</v>
      </c>
      <c r="F23" s="57" t="str">
        <f>IF($E23="","",IF(ISNA(VLOOKUP($E23,DD!$A$2:$C$150,2,0)),"NO SUCH DIVE",VLOOKUP($E23,DD!$A$2:$C$150,2,0)))</f>
        <v>Inward dive tuck</v>
      </c>
      <c r="G23" s="58">
        <f>IF($E23="","",IF(ISNA(VLOOKUP($E23,DD!$A$2:$C$150,3,0)),"",VLOOKUP($E23,DD!$A$2:$C$150,3,0)))</f>
        <v>1.5</v>
      </c>
      <c r="H23" s="59">
        <v>5</v>
      </c>
      <c r="I23" s="59">
        <v>6</v>
      </c>
      <c r="J23" s="59">
        <v>5.5</v>
      </c>
      <c r="K23" s="59">
        <v>6</v>
      </c>
      <c r="L23" s="59">
        <v>5.5</v>
      </c>
      <c r="M23" s="56"/>
      <c r="N23" s="57">
        <f t="shared" si="0"/>
        <v>25.5</v>
      </c>
      <c r="O23" s="57">
        <f>IF(N23="","",N23)</f>
        <v>25.5</v>
      </c>
      <c r="R23" s="53">
        <f>O67+0.000022</f>
        <v>37.850022000000003</v>
      </c>
      <c r="S23" s="53" t="str">
        <f>B65</f>
        <v>Shayla Mcmahon</v>
      </c>
      <c r="T23" s="53" t="str">
        <f>C65</f>
        <v>Side</v>
      </c>
    </row>
    <row r="24" spans="1:20" x14ac:dyDescent="0.25">
      <c r="A24" s="100"/>
      <c r="B24" s="101"/>
      <c r="C24" s="102"/>
      <c r="D24" s="55">
        <v>2</v>
      </c>
      <c r="E24" s="61" t="s">
        <v>58</v>
      </c>
      <c r="F24" s="57" t="str">
        <f>IF($E24="","",IF(ISNA(VLOOKUP($E24,DD!$A$2:$C$150,2,0)),"NO SUCH DIVE",VLOOKUP($E24,DD!$A$2:$C$150,2,0)))</f>
        <v>Back dive layout</v>
      </c>
      <c r="G24" s="58">
        <f>IF($E24="","",IF(ISNA(VLOOKUP($E24,DD!$A$2:$C$150,3,0)),"",VLOOKUP($E24,DD!$A$2:$C$150,3,0)))</f>
        <v>1.4</v>
      </c>
      <c r="H24" s="59">
        <v>5</v>
      </c>
      <c r="I24" s="59">
        <v>7</v>
      </c>
      <c r="J24" s="59">
        <v>5.5</v>
      </c>
      <c r="K24" s="59">
        <v>6.5</v>
      </c>
      <c r="L24" s="59">
        <v>6</v>
      </c>
      <c r="M24" s="56"/>
      <c r="N24" s="57">
        <f t="shared" si="0"/>
        <v>25.2</v>
      </c>
      <c r="O24" s="57">
        <f>IF(N24="","",N24+O23)</f>
        <v>50.7</v>
      </c>
      <c r="R24" s="53">
        <f>O70+0.000023</f>
        <v>59.350022999999993</v>
      </c>
      <c r="S24" s="53" t="str">
        <f>B68</f>
        <v>Sheryl Young</v>
      </c>
      <c r="T24" s="53" t="str">
        <f>C68</f>
        <v>Val</v>
      </c>
    </row>
    <row r="25" spans="1:20" x14ac:dyDescent="0.25">
      <c r="A25" s="100"/>
      <c r="B25" s="101"/>
      <c r="C25" s="102"/>
      <c r="D25" s="55">
        <v>3</v>
      </c>
      <c r="E25" s="61" t="s">
        <v>72</v>
      </c>
      <c r="F25" s="57" t="str">
        <f>IF($E25="","",IF(ISNA(VLOOKUP($E25,DD!$A$2:$C$150,2,0)),"NO SUCH DIVE",VLOOKUP($E25,DD!$A$2:$C$150,2,0)))</f>
        <v>Front somersault tuck</v>
      </c>
      <c r="G25" s="55">
        <f>IF($E25="","",IF(ISNA(VLOOKUP($E25,DD!$A$2:$C$150,3,0)),"",VLOOKUP($E25,DD!$A$2:$C$150,3,0)))</f>
        <v>1.4</v>
      </c>
      <c r="H25" s="59">
        <v>6</v>
      </c>
      <c r="I25" s="59">
        <v>6</v>
      </c>
      <c r="J25" s="59">
        <v>6</v>
      </c>
      <c r="K25" s="59">
        <v>6</v>
      </c>
      <c r="L25" s="59">
        <v>5.5</v>
      </c>
      <c r="M25" s="56"/>
      <c r="N25" s="57">
        <f t="shared" si="0"/>
        <v>25.2</v>
      </c>
      <c r="O25" s="60">
        <f>IF(N25="",0,N25+O24)</f>
        <v>75.900000000000006</v>
      </c>
      <c r="R25" s="53">
        <f>O73+0.000024</f>
        <v>44.700024000000006</v>
      </c>
      <c r="S25" s="53" t="str">
        <f>B71</f>
        <v>Alexandra Janidlo</v>
      </c>
      <c r="T25" s="53" t="str">
        <f>C71</f>
        <v>Val</v>
      </c>
    </row>
    <row r="26" spans="1:20" x14ac:dyDescent="0.25">
      <c r="A26" s="97">
        <v>9</v>
      </c>
      <c r="B26" s="98"/>
      <c r="C26" s="99"/>
      <c r="D26" s="46">
        <v>1</v>
      </c>
      <c r="E26" s="50"/>
      <c r="F26" s="45" t="str">
        <f>IF($E26="","",IF(ISNA(VLOOKUP($E26,DD!$A$2:$C$150,2,0)),"NO SUCH DIVE",VLOOKUP($E26,DD!$A$2:$C$150,2,0)))</f>
        <v/>
      </c>
      <c r="G26" s="51" t="str">
        <f>IF($E26="","",IF(ISNA(VLOOKUP($E26,DD!$A$2:$C$150,3,0)),"",VLOOKUP($E26,DD!$A$2:$C$150,3,0)))</f>
        <v/>
      </c>
      <c r="H26" s="52"/>
      <c r="I26" s="52"/>
      <c r="J26" s="52"/>
      <c r="K26" s="52"/>
      <c r="L26" s="52"/>
      <c r="M26" s="50"/>
      <c r="N26" s="45" t="str">
        <f t="shared" si="0"/>
        <v/>
      </c>
      <c r="O26" s="45" t="str">
        <f>IF(N26="","",N26)</f>
        <v/>
      </c>
      <c r="R26" s="53">
        <v>0</v>
      </c>
    </row>
    <row r="27" spans="1:20" x14ac:dyDescent="0.25">
      <c r="A27" s="97"/>
      <c r="B27" s="98"/>
      <c r="C27" s="99"/>
      <c r="D27" s="46">
        <v>2</v>
      </c>
      <c r="E27" s="50"/>
      <c r="F27" s="45" t="str">
        <f>IF($E27="","",IF(ISNA(VLOOKUP($E27,DD!$A$2:$C$150,2,0)),"NO SUCH DIVE",VLOOKUP($E27,DD!$A$2:$C$150,2,0)))</f>
        <v/>
      </c>
      <c r="G27" s="51" t="str">
        <f>IF($E27="","",IF(ISNA(VLOOKUP($E27,DD!$A$2:$C$150,3,0)),"",VLOOKUP($E27,DD!$A$2:$C$150,3,0)))</f>
        <v/>
      </c>
      <c r="H27" s="52"/>
      <c r="I27" s="52"/>
      <c r="J27" s="52"/>
      <c r="K27" s="52"/>
      <c r="L27" s="52"/>
      <c r="M27" s="50"/>
      <c r="N27" s="45" t="str">
        <f t="shared" si="0"/>
        <v/>
      </c>
      <c r="O27" s="45" t="str">
        <f>IF(N27="","",N27+O26)</f>
        <v/>
      </c>
    </row>
    <row r="28" spans="1:20" x14ac:dyDescent="0.25">
      <c r="A28" s="97"/>
      <c r="B28" s="98"/>
      <c r="C28" s="99"/>
      <c r="D28" s="46">
        <v>3</v>
      </c>
      <c r="E28" s="50"/>
      <c r="F28" s="45" t="str">
        <f>IF($E28="","",IF(ISNA(VLOOKUP($E28,DD!$A$2:$C$150,2,0)),"NO SUCH DIVE",VLOOKUP($E28,DD!$A$2:$C$150,2,0)))</f>
        <v/>
      </c>
      <c r="G28" s="46" t="str">
        <f>IF($E28="","",IF(ISNA(VLOOKUP($E28,DD!$A$2:$C$150,3,0)),"",VLOOKUP($E28,DD!$A$2:$C$150,3,0)))</f>
        <v/>
      </c>
      <c r="H28" s="52"/>
      <c r="I28" s="52"/>
      <c r="J28" s="52"/>
      <c r="K28" s="52"/>
      <c r="L28" s="52"/>
      <c r="M28" s="50"/>
      <c r="N28" s="45" t="str">
        <f t="shared" si="0"/>
        <v/>
      </c>
      <c r="O28" s="54">
        <f>IF(N28="",0,N28+O27)</f>
        <v>0</v>
      </c>
    </row>
    <row r="29" spans="1:20" ht="13.9" customHeight="1" x14ac:dyDescent="0.25">
      <c r="A29" s="100">
        <v>10</v>
      </c>
      <c r="B29" s="101" t="s">
        <v>97</v>
      </c>
      <c r="C29" s="102" t="s">
        <v>57</v>
      </c>
      <c r="D29" s="55">
        <v>1</v>
      </c>
      <c r="E29" s="56" t="s">
        <v>45</v>
      </c>
      <c r="F29" s="57" t="str">
        <f>IF($E29="","",IF(ISNA(VLOOKUP($E29,DD!$A$2:$C$150,2,0)),"NO SUCH DIVE",VLOOKUP($E29,DD!$A$2:$C$150,2,0)))</f>
        <v>Front jump tuck</v>
      </c>
      <c r="G29" s="58">
        <f>IF($E29="","",IF(ISNA(VLOOKUP($E29,DD!$A$2:$C$150,3,0)),"",VLOOKUP($E29,DD!$A$2:$C$150,3,0)))</f>
        <v>0.6</v>
      </c>
      <c r="H29" s="59">
        <v>7.5</v>
      </c>
      <c r="I29" s="59">
        <v>7</v>
      </c>
      <c r="J29" s="59">
        <v>6.5</v>
      </c>
      <c r="K29" s="59">
        <v>7.5</v>
      </c>
      <c r="L29" s="59">
        <v>7</v>
      </c>
      <c r="M29" s="56"/>
      <c r="N29" s="57">
        <f t="shared" si="0"/>
        <v>12.9</v>
      </c>
      <c r="O29" s="57">
        <f>IF(N29="","",N29)</f>
        <v>12.9</v>
      </c>
    </row>
    <row r="30" spans="1:20" x14ac:dyDescent="0.25">
      <c r="A30" s="100"/>
      <c r="B30" s="101"/>
      <c r="C30" s="102"/>
      <c r="D30" s="55">
        <v>2</v>
      </c>
      <c r="E30" s="56" t="s">
        <v>58</v>
      </c>
      <c r="F30" s="57" t="str">
        <f>IF($E30="","",IF(ISNA(VLOOKUP($E30,DD!$A$2:$C$150,2,0)),"NO SUCH DIVE",VLOOKUP($E30,DD!$A$2:$C$150,2,0)))</f>
        <v>Back dive layout</v>
      </c>
      <c r="G30" s="58">
        <f>IF($E30="","",IF(ISNA(VLOOKUP($E30,DD!$A$2:$C$150,3,0)),"",VLOOKUP($E30,DD!$A$2:$C$150,3,0)))</f>
        <v>1.4</v>
      </c>
      <c r="H30" s="59">
        <v>7</v>
      </c>
      <c r="I30" s="59">
        <v>8</v>
      </c>
      <c r="J30" s="59">
        <v>7.5</v>
      </c>
      <c r="K30" s="59">
        <v>8</v>
      </c>
      <c r="L30" s="59">
        <v>7.5</v>
      </c>
      <c r="M30" s="56"/>
      <c r="N30" s="57">
        <f t="shared" si="0"/>
        <v>32.199999999999996</v>
      </c>
      <c r="O30" s="57">
        <f>IF(N30="","",N30+O29)</f>
        <v>45.099999999999994</v>
      </c>
    </row>
    <row r="31" spans="1:20" x14ac:dyDescent="0.25">
      <c r="A31" s="100"/>
      <c r="B31" s="101"/>
      <c r="C31" s="102"/>
      <c r="D31" s="55">
        <v>3</v>
      </c>
      <c r="E31" s="56" t="s">
        <v>89</v>
      </c>
      <c r="F31" s="57" t="str">
        <f>IF($E31="","",IF(ISNA(VLOOKUP($E31,DD!$A$2:$C$150,2,0)),"NO SUCH DIVE",VLOOKUP($E31,DD!$A$2:$C$150,2,0)))</f>
        <v>Front dive tuck</v>
      </c>
      <c r="G31" s="55">
        <f>IF($E31="","",IF(ISNA(VLOOKUP($E31,DD!$A$2:$C$150,3,0)),"",VLOOKUP($E31,DD!$A$2:$C$150,3,0)))</f>
        <v>1.3</v>
      </c>
      <c r="H31" s="59">
        <v>7.5</v>
      </c>
      <c r="I31" s="59">
        <v>8</v>
      </c>
      <c r="J31" s="59">
        <v>7</v>
      </c>
      <c r="K31" s="59">
        <v>8</v>
      </c>
      <c r="L31" s="59">
        <v>7</v>
      </c>
      <c r="M31" s="56"/>
      <c r="N31" s="57">
        <f t="shared" si="0"/>
        <v>29.25</v>
      </c>
      <c r="O31" s="60">
        <f>IF(N31="",0,N31+O30)</f>
        <v>74.349999999999994</v>
      </c>
    </row>
    <row r="32" spans="1:20" ht="13.9" customHeight="1" x14ac:dyDescent="0.25">
      <c r="A32" s="97">
        <v>11</v>
      </c>
      <c r="B32" s="98" t="s">
        <v>98</v>
      </c>
      <c r="C32" s="99" t="s">
        <v>76</v>
      </c>
      <c r="D32" s="46">
        <v>1</v>
      </c>
      <c r="E32" s="50" t="s">
        <v>54</v>
      </c>
      <c r="F32" s="45" t="str">
        <f>IF($E32="","",IF(ISNA(VLOOKUP($E32,DD!$A$2:$C$150,2,0)),"NO SUCH DIVE",VLOOKUP($E32,DD!$A$2:$C$150,2,0)))</f>
        <v>Front dive layout</v>
      </c>
      <c r="G32" s="51">
        <f>IF($E32="","",IF(ISNA(VLOOKUP($E32,DD!$A$2:$C$150,3,0)),"",VLOOKUP($E32,DD!$A$2:$C$150,3,0)))</f>
        <v>1.3</v>
      </c>
      <c r="H32" s="52">
        <v>4.5</v>
      </c>
      <c r="I32" s="52">
        <v>5</v>
      </c>
      <c r="J32" s="52">
        <v>5</v>
      </c>
      <c r="K32" s="52">
        <v>4.5</v>
      </c>
      <c r="L32" s="52">
        <v>4</v>
      </c>
      <c r="M32" s="50"/>
      <c r="N32" s="45">
        <f t="shared" si="0"/>
        <v>18.2</v>
      </c>
      <c r="O32" s="45">
        <f>IF(N32="","",N32)</f>
        <v>18.2</v>
      </c>
    </row>
    <row r="33" spans="1:15" x14ac:dyDescent="0.25">
      <c r="A33" s="97"/>
      <c r="B33" s="98"/>
      <c r="C33" s="99"/>
      <c r="D33" s="46">
        <v>2</v>
      </c>
      <c r="E33" s="50" t="s">
        <v>58</v>
      </c>
      <c r="F33" s="45" t="str">
        <f>IF($E33="","",IF(ISNA(VLOOKUP($E33,DD!$A$2:$C$150,2,0)),"NO SUCH DIVE",VLOOKUP($E33,DD!$A$2:$C$150,2,0)))</f>
        <v>Back dive layout</v>
      </c>
      <c r="G33" s="51">
        <f>IF($E33="","",IF(ISNA(VLOOKUP($E33,DD!$A$2:$C$150,3,0)),"",VLOOKUP($E33,DD!$A$2:$C$150,3,0)))</f>
        <v>1.4</v>
      </c>
      <c r="H33" s="52">
        <v>6</v>
      </c>
      <c r="I33" s="52">
        <v>5.5</v>
      </c>
      <c r="J33" s="52">
        <v>5.5</v>
      </c>
      <c r="K33" s="52">
        <v>5.5</v>
      </c>
      <c r="L33" s="52">
        <v>5</v>
      </c>
      <c r="M33" s="50"/>
      <c r="N33" s="45">
        <f t="shared" si="0"/>
        <v>23.099999999999998</v>
      </c>
      <c r="O33" s="45">
        <f>IF(N33="","",N33+O32)</f>
        <v>41.3</v>
      </c>
    </row>
    <row r="34" spans="1:15" x14ac:dyDescent="0.25">
      <c r="A34" s="97"/>
      <c r="B34" s="98"/>
      <c r="C34" s="99"/>
      <c r="D34" s="46">
        <v>3</v>
      </c>
      <c r="E34" s="50" t="s">
        <v>72</v>
      </c>
      <c r="F34" s="45" t="str">
        <f>IF($E34="","",IF(ISNA(VLOOKUP($E34,DD!$A$2:$C$150,2,0)),"NO SUCH DIVE",VLOOKUP($E34,DD!$A$2:$C$150,2,0)))</f>
        <v>Front somersault tuck</v>
      </c>
      <c r="G34" s="46">
        <f>IF($E34="","",IF(ISNA(VLOOKUP($E34,DD!$A$2:$C$150,3,0)),"",VLOOKUP($E34,DD!$A$2:$C$150,3,0)))</f>
        <v>1.4</v>
      </c>
      <c r="H34" s="52">
        <v>4</v>
      </c>
      <c r="I34" s="52">
        <v>4.5</v>
      </c>
      <c r="J34" s="52">
        <v>4</v>
      </c>
      <c r="K34" s="52">
        <v>4.5</v>
      </c>
      <c r="L34" s="52">
        <v>5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18.2</v>
      </c>
      <c r="O34" s="54">
        <f>IF(N34="",0,N34+O33)</f>
        <v>59.5</v>
      </c>
    </row>
    <row r="35" spans="1:15" ht="13.9" customHeight="1" x14ac:dyDescent="0.25">
      <c r="A35" s="100">
        <v>12</v>
      </c>
      <c r="B35" s="101" t="s">
        <v>99</v>
      </c>
      <c r="C35" s="102" t="s">
        <v>52</v>
      </c>
      <c r="D35" s="55">
        <v>1</v>
      </c>
      <c r="E35" s="56" t="s">
        <v>54</v>
      </c>
      <c r="F35" s="57" t="str">
        <f>IF($E35="","",IF(ISNA(VLOOKUP($E35,DD!$A$2:$C$150,2,0)),"NO SUCH DIVE",VLOOKUP($E35,DD!$A$2:$C$150,2,0)))</f>
        <v>Front dive layout</v>
      </c>
      <c r="G35" s="58">
        <f>IF($E35="","",IF(ISNA(VLOOKUP($E35,DD!$A$2:$C$150,3,0)),"",VLOOKUP($E35,DD!$A$2:$C$150,3,0)))</f>
        <v>1.3</v>
      </c>
      <c r="H35" s="59">
        <v>5.5</v>
      </c>
      <c r="I35" s="59">
        <v>6</v>
      </c>
      <c r="J35" s="59">
        <v>5.5</v>
      </c>
      <c r="K35" s="59">
        <v>5</v>
      </c>
      <c r="L35" s="59">
        <v>5</v>
      </c>
      <c r="M35" s="56"/>
      <c r="N35" s="57">
        <f t="shared" si="1"/>
        <v>20.8</v>
      </c>
      <c r="O35" s="57">
        <f>IF(N35="","",N35)</f>
        <v>20.8</v>
      </c>
    </row>
    <row r="36" spans="1:15" x14ac:dyDescent="0.25">
      <c r="A36" s="100"/>
      <c r="B36" s="101"/>
      <c r="C36" s="102"/>
      <c r="D36" s="55">
        <v>2</v>
      </c>
      <c r="E36" s="61" t="s">
        <v>58</v>
      </c>
      <c r="F36" s="57" t="str">
        <f>IF($E36="","",IF(ISNA(VLOOKUP($E36,DD!$A$2:$C$150,2,0)),"NO SUCH DIVE",VLOOKUP($E36,DD!$A$2:$C$150,2,0)))</f>
        <v>Back dive layout</v>
      </c>
      <c r="G36" s="58">
        <f>IF($E36="","",IF(ISNA(VLOOKUP($E36,DD!$A$2:$C$150,3,0)),"",VLOOKUP($E36,DD!$A$2:$C$150,3,0)))</f>
        <v>1.4</v>
      </c>
      <c r="H36" s="59">
        <v>5</v>
      </c>
      <c r="I36" s="59">
        <v>6.5</v>
      </c>
      <c r="J36" s="59">
        <v>5</v>
      </c>
      <c r="K36" s="59">
        <v>5</v>
      </c>
      <c r="L36" s="59">
        <v>5</v>
      </c>
      <c r="M36" s="56"/>
      <c r="N36" s="57">
        <f t="shared" si="1"/>
        <v>21</v>
      </c>
      <c r="O36" s="57">
        <f>IF(N36="","",N36+O35)</f>
        <v>41.8</v>
      </c>
    </row>
    <row r="37" spans="1:15" x14ac:dyDescent="0.25">
      <c r="A37" s="100"/>
      <c r="B37" s="101"/>
      <c r="C37" s="102"/>
      <c r="D37" s="55">
        <v>3</v>
      </c>
      <c r="E37" s="61" t="s">
        <v>72</v>
      </c>
      <c r="F37" s="57" t="str">
        <f>IF($E37="","",IF(ISNA(VLOOKUP($E37,DD!$A$2:$C$150,2,0)),"NO SUCH DIVE",VLOOKUP($E37,DD!$A$2:$C$150,2,0)))</f>
        <v>Front somersault tuck</v>
      </c>
      <c r="G37" s="55">
        <f>IF($E37="","",IF(ISNA(VLOOKUP($E37,DD!$A$2:$C$150,3,0)),"",VLOOKUP($E37,DD!$A$2:$C$150,3,0)))</f>
        <v>1.4</v>
      </c>
      <c r="H37" s="59">
        <v>3.5</v>
      </c>
      <c r="I37" s="59">
        <v>4.5</v>
      </c>
      <c r="J37" s="59">
        <v>4</v>
      </c>
      <c r="K37" s="59">
        <v>4</v>
      </c>
      <c r="L37" s="59">
        <v>4.5</v>
      </c>
      <c r="M37" s="56"/>
      <c r="N37" s="57">
        <f t="shared" si="1"/>
        <v>17.5</v>
      </c>
      <c r="O37" s="60">
        <f>IF(N37="",0,N37+O36)</f>
        <v>59.3</v>
      </c>
    </row>
    <row r="38" spans="1:15" ht="13.9" customHeight="1" x14ac:dyDescent="0.25">
      <c r="A38" s="97">
        <v>13</v>
      </c>
      <c r="B38" s="98" t="s">
        <v>100</v>
      </c>
      <c r="C38" s="99" t="s">
        <v>57</v>
      </c>
      <c r="D38" s="46">
        <v>1</v>
      </c>
      <c r="E38" s="50" t="s">
        <v>45</v>
      </c>
      <c r="F38" s="45" t="str">
        <f>IF($E38="","",IF(ISNA(VLOOKUP($E38,DD!$A$2:$C$150,2,0)),"NO SUCH DIVE",VLOOKUP($E38,DD!$A$2:$C$150,2,0)))</f>
        <v>Front jump tuck</v>
      </c>
      <c r="G38" s="51">
        <f>IF($E38="","",IF(ISNA(VLOOKUP($E38,DD!$A$2:$C$150,3,0)),"",VLOOKUP($E38,DD!$A$2:$C$150,3,0)))</f>
        <v>0.6</v>
      </c>
      <c r="H38" s="52">
        <v>6.5</v>
      </c>
      <c r="I38" s="52">
        <v>6.5</v>
      </c>
      <c r="J38" s="52">
        <v>6</v>
      </c>
      <c r="K38" s="52">
        <v>6</v>
      </c>
      <c r="L38" s="52">
        <v>6</v>
      </c>
      <c r="M38" s="50"/>
      <c r="N38" s="45">
        <f t="shared" si="1"/>
        <v>11.1</v>
      </c>
      <c r="O38" s="45">
        <f>IF(N38="","",N38)</f>
        <v>11.1</v>
      </c>
    </row>
    <row r="39" spans="1:15" x14ac:dyDescent="0.25">
      <c r="A39" s="97"/>
      <c r="B39" s="98"/>
      <c r="C39" s="99"/>
      <c r="D39" s="46">
        <v>2</v>
      </c>
      <c r="E39" s="50" t="s">
        <v>50</v>
      </c>
      <c r="F39" s="45" t="str">
        <f>IF($E39="","",IF(ISNA(VLOOKUP($E39,DD!$A$2:$C$150,2,0)),"NO SUCH DIVE",VLOOKUP($E39,DD!$A$2:$C$150,2,0)))</f>
        <v>Back jump layout</v>
      </c>
      <c r="G39" s="51">
        <f>IF($E39="","",IF(ISNA(VLOOKUP($E39,DD!$A$2:$C$150,3,0)),"",VLOOKUP($E39,DD!$A$2:$C$150,3,0)))</f>
        <v>0.5</v>
      </c>
      <c r="H39" s="52">
        <v>6.5</v>
      </c>
      <c r="I39" s="52">
        <v>6.5</v>
      </c>
      <c r="J39" s="52">
        <v>5.5</v>
      </c>
      <c r="K39" s="52">
        <v>5.5</v>
      </c>
      <c r="L39" s="52">
        <v>5.5</v>
      </c>
      <c r="M39" s="50"/>
      <c r="N39" s="45">
        <f t="shared" si="1"/>
        <v>8.75</v>
      </c>
      <c r="O39" s="45">
        <f>IF(N39="","",N39+O38)</f>
        <v>19.850000000000001</v>
      </c>
    </row>
    <row r="40" spans="1:15" x14ac:dyDescent="0.25">
      <c r="A40" s="97"/>
      <c r="B40" s="98"/>
      <c r="C40" s="99"/>
      <c r="D40" s="46">
        <v>3</v>
      </c>
      <c r="E40" s="50" t="s">
        <v>47</v>
      </c>
      <c r="F40" s="45" t="str">
        <f>IF($E40="","",IF(ISNA(VLOOKUP($E40,DD!$A$2:$C$150,2,0)),"NO SUCH DIVE",VLOOKUP($E40,DD!$A$2:$C$150,2,0)))</f>
        <v>Front fall-in</v>
      </c>
      <c r="G40" s="46">
        <f>IF($E40="","",IF(ISNA(VLOOKUP($E40,DD!$A$2:$C$150,3,0)),"",VLOOKUP($E40,DD!$A$2:$C$150,3,0)))</f>
        <v>1</v>
      </c>
      <c r="H40" s="52">
        <v>6.5</v>
      </c>
      <c r="I40" s="52">
        <v>5.5</v>
      </c>
      <c r="J40" s="52">
        <v>6</v>
      </c>
      <c r="K40" s="52">
        <v>6</v>
      </c>
      <c r="L40" s="52">
        <v>5.5</v>
      </c>
      <c r="M40" s="50"/>
      <c r="N40" s="45">
        <f t="shared" si="1"/>
        <v>17.5</v>
      </c>
      <c r="O40" s="54">
        <f>IF(N40="",0,N40+O39)</f>
        <v>37.35</v>
      </c>
    </row>
    <row r="41" spans="1:15" ht="13.9" customHeight="1" x14ac:dyDescent="0.25">
      <c r="A41" s="100">
        <v>14</v>
      </c>
      <c r="B41" s="101" t="s">
        <v>101</v>
      </c>
      <c r="C41" s="102" t="s">
        <v>4</v>
      </c>
      <c r="D41" s="55">
        <v>1</v>
      </c>
      <c r="E41" s="56" t="s">
        <v>72</v>
      </c>
      <c r="F41" s="57" t="str">
        <f>IF($E41="","",IF(ISNA(VLOOKUP($E41,DD!$A$2:$C$150,2,0)),"NO SUCH DIVE",VLOOKUP($E41,DD!$A$2:$C$150,2,0)))</f>
        <v>Front somersault tuck</v>
      </c>
      <c r="G41" s="58">
        <f>IF($E41="","",IF(ISNA(VLOOKUP($E41,DD!$A$2:$C$150,3,0)),"",VLOOKUP($E41,DD!$A$2:$C$150,3,0)))</f>
        <v>1.4</v>
      </c>
      <c r="H41" s="59">
        <v>5</v>
      </c>
      <c r="I41" s="59">
        <v>5.5</v>
      </c>
      <c r="J41" s="59">
        <v>5.5</v>
      </c>
      <c r="K41" s="59">
        <v>5.5</v>
      </c>
      <c r="L41" s="59">
        <v>6</v>
      </c>
      <c r="M41" s="56"/>
      <c r="N41" s="57">
        <f t="shared" si="1"/>
        <v>23.099999999999998</v>
      </c>
      <c r="O41" s="57">
        <f>IF(N41="","",N41)</f>
        <v>23.099999999999998</v>
      </c>
    </row>
    <row r="42" spans="1:15" x14ac:dyDescent="0.25">
      <c r="A42" s="100"/>
      <c r="B42" s="101"/>
      <c r="C42" s="102"/>
      <c r="D42" s="55">
        <v>2</v>
      </c>
      <c r="E42" s="61" t="s">
        <v>64</v>
      </c>
      <c r="F42" s="57" t="str">
        <f>IF($E42="","",IF(ISNA(VLOOKUP($E42,DD!$A$2:$C$150,2,0)),"NO SUCH DIVE",VLOOKUP($E42,DD!$A$2:$C$150,2,0)))</f>
        <v>Back dive ½ twist layout</v>
      </c>
      <c r="G42" s="58">
        <f>IF($E42="","",IF(ISNA(VLOOKUP($E42,DD!$A$2:$C$150,3,0)),"",VLOOKUP($E42,DD!$A$2:$C$150,3,0)))</f>
        <v>1.4</v>
      </c>
      <c r="H42" s="59">
        <v>4.5</v>
      </c>
      <c r="I42" s="59">
        <v>5</v>
      </c>
      <c r="J42" s="59">
        <v>5.5</v>
      </c>
      <c r="K42" s="59">
        <v>5.5</v>
      </c>
      <c r="L42" s="59">
        <v>6</v>
      </c>
      <c r="M42" s="56"/>
      <c r="N42" s="57">
        <f t="shared" si="1"/>
        <v>22.4</v>
      </c>
      <c r="O42" s="57">
        <f>IF(N42="","",N42+O41)</f>
        <v>45.5</v>
      </c>
    </row>
    <row r="43" spans="1:15" x14ac:dyDescent="0.25">
      <c r="A43" s="100"/>
      <c r="B43" s="101"/>
      <c r="C43" s="102"/>
      <c r="D43" s="55">
        <v>3</v>
      </c>
      <c r="E43" s="61" t="s">
        <v>89</v>
      </c>
      <c r="F43" s="57" t="str">
        <f>IF($E43="","",IF(ISNA(VLOOKUP($E43,DD!$A$2:$C$150,2,0)),"NO SUCH DIVE",VLOOKUP($E43,DD!$A$2:$C$150,2,0)))</f>
        <v>Front dive tuck</v>
      </c>
      <c r="G43" s="55">
        <f>IF($E43="","",IF(ISNA(VLOOKUP($E43,DD!$A$2:$C$150,3,0)),"",VLOOKUP($E43,DD!$A$2:$C$150,3,0)))</f>
        <v>1.3</v>
      </c>
      <c r="H43" s="59">
        <v>6</v>
      </c>
      <c r="I43" s="59">
        <v>6</v>
      </c>
      <c r="J43" s="59">
        <v>6</v>
      </c>
      <c r="K43" s="59">
        <v>7</v>
      </c>
      <c r="L43" s="59">
        <v>5.5</v>
      </c>
      <c r="M43" s="56"/>
      <c r="N43" s="57">
        <f t="shared" si="1"/>
        <v>23.400000000000002</v>
      </c>
      <c r="O43" s="60">
        <f>IF(N43="",0,N43+O42)</f>
        <v>68.900000000000006</v>
      </c>
    </row>
    <row r="44" spans="1:15" ht="13.9" customHeight="1" x14ac:dyDescent="0.25">
      <c r="A44" s="97">
        <v>15</v>
      </c>
      <c r="B44" s="98" t="s">
        <v>102</v>
      </c>
      <c r="C44" s="99" t="s">
        <v>44</v>
      </c>
      <c r="D44" s="46">
        <v>1</v>
      </c>
      <c r="E44" s="50" t="s">
        <v>54</v>
      </c>
      <c r="F44" s="45" t="str">
        <f>IF($E44="","",IF(ISNA(VLOOKUP($E44,DD!$A$2:$C$150,2,0)),"NO SUCH DIVE",VLOOKUP($E44,DD!$A$2:$C$150,2,0)))</f>
        <v>Front dive layout</v>
      </c>
      <c r="G44" s="51">
        <f>IF($E44="","",IF(ISNA(VLOOKUP($E44,DD!$A$2:$C$150,3,0)),"",VLOOKUP($E44,DD!$A$2:$C$150,3,0)))</f>
        <v>1.3</v>
      </c>
      <c r="H44" s="52">
        <v>5</v>
      </c>
      <c r="I44" s="52">
        <v>5.5</v>
      </c>
      <c r="J44" s="52">
        <v>5.5</v>
      </c>
      <c r="K44" s="52">
        <v>5</v>
      </c>
      <c r="L44" s="52">
        <v>5</v>
      </c>
      <c r="M44" s="50"/>
      <c r="N44" s="45">
        <f t="shared" si="1"/>
        <v>20.150000000000002</v>
      </c>
      <c r="O44" s="45">
        <f>IF(N44="","",N44)</f>
        <v>20.150000000000002</v>
      </c>
    </row>
    <row r="45" spans="1:15" x14ac:dyDescent="0.25">
      <c r="A45" s="97"/>
      <c r="B45" s="98"/>
      <c r="C45" s="99"/>
      <c r="D45" s="46">
        <v>2</v>
      </c>
      <c r="E45" s="62" t="s">
        <v>46</v>
      </c>
      <c r="F45" s="45" t="str">
        <f>IF($E45="","",IF(ISNA(VLOOKUP($E45,DD!$A$2:$C$150,2,0)),"NO SUCH DIVE",VLOOKUP($E45,DD!$A$2:$C$150,2,0)))</f>
        <v>Back fall in</v>
      </c>
      <c r="G45" s="51">
        <f>IF($E45="","",IF(ISNA(VLOOKUP($E45,DD!$A$2:$C$150,3,0)),"",VLOOKUP($E45,DD!$A$2:$C$150,3,0)))</f>
        <v>1</v>
      </c>
      <c r="H45" s="52">
        <v>5</v>
      </c>
      <c r="I45" s="52">
        <v>5.5</v>
      </c>
      <c r="J45" s="52">
        <v>5</v>
      </c>
      <c r="K45" s="52">
        <v>5.5</v>
      </c>
      <c r="L45" s="52">
        <v>4.5</v>
      </c>
      <c r="M45" s="50"/>
      <c r="N45" s="45">
        <f t="shared" si="1"/>
        <v>15.5</v>
      </c>
      <c r="O45" s="45">
        <f>IF(N45="","",N45+O44)</f>
        <v>35.650000000000006</v>
      </c>
    </row>
    <row r="46" spans="1:15" x14ac:dyDescent="0.25">
      <c r="A46" s="97"/>
      <c r="B46" s="98"/>
      <c r="C46" s="99"/>
      <c r="D46" s="46">
        <v>3</v>
      </c>
      <c r="E46" s="62" t="s">
        <v>72</v>
      </c>
      <c r="F46" s="45" t="str">
        <f>IF($E46="","",IF(ISNA(VLOOKUP($E46,DD!$A$2:$C$150,2,0)),"NO SUCH DIVE",VLOOKUP($E46,DD!$A$2:$C$150,2,0)))</f>
        <v>Front somersault tuck</v>
      </c>
      <c r="G46" s="46">
        <f>IF($E46="","",IF(ISNA(VLOOKUP($E46,DD!$A$2:$C$150,3,0)),"",VLOOKUP($E46,DD!$A$2:$C$150,3,0)))</f>
        <v>1.4</v>
      </c>
      <c r="H46" s="52">
        <v>4.5</v>
      </c>
      <c r="I46" s="52">
        <v>4.5</v>
      </c>
      <c r="J46" s="52">
        <v>4</v>
      </c>
      <c r="K46" s="52">
        <v>4</v>
      </c>
      <c r="L46" s="52">
        <v>4.5</v>
      </c>
      <c r="M46" s="50"/>
      <c r="N46" s="45">
        <f t="shared" si="1"/>
        <v>18.2</v>
      </c>
      <c r="O46" s="54">
        <f>IF(N46="",0,N46+O45)</f>
        <v>53.850000000000009</v>
      </c>
    </row>
    <row r="47" spans="1:15" x14ac:dyDescent="0.25">
      <c r="A47" s="100">
        <v>16</v>
      </c>
      <c r="B47" s="101"/>
      <c r="C47" s="102"/>
      <c r="D47" s="55">
        <v>1</v>
      </c>
      <c r="E47" s="56"/>
      <c r="F47" s="57" t="str">
        <f>IF($E47="","",IF(ISNA(VLOOKUP($E47,DD!$A$2:$C$150,2,0)),"NO SUCH DIVE",VLOOKUP($E47,DD!$A$2:$C$150,2,0)))</f>
        <v/>
      </c>
      <c r="G47" s="58" t="str">
        <f>IF($E47="","",IF(ISNA(VLOOKUP($E47,DD!$A$2:$C$150,3,0)),"",VLOOKUP($E47,DD!$A$2:$C$150,3,0)))</f>
        <v/>
      </c>
      <c r="H47" s="59"/>
      <c r="I47" s="59"/>
      <c r="J47" s="59"/>
      <c r="K47" s="59"/>
      <c r="L47" s="59"/>
      <c r="M47" s="56"/>
      <c r="N47" s="57" t="str">
        <f t="shared" si="1"/>
        <v/>
      </c>
      <c r="O47" s="57" t="str">
        <f>IF(N47="","",N47)</f>
        <v/>
      </c>
    </row>
    <row r="48" spans="1:15" x14ac:dyDescent="0.25">
      <c r="A48" s="100"/>
      <c r="B48" s="101"/>
      <c r="C48" s="102"/>
      <c r="D48" s="55">
        <v>2</v>
      </c>
      <c r="E48" s="56"/>
      <c r="F48" s="57" t="str">
        <f>IF($E48="","",IF(ISNA(VLOOKUP($E48,DD!$A$2:$C$150,2,0)),"NO SUCH DIVE",VLOOKUP($E48,DD!$A$2:$C$150,2,0)))</f>
        <v/>
      </c>
      <c r="G48" s="58" t="str">
        <f>IF($E48="","",IF(ISNA(VLOOKUP($E48,DD!$A$2:$C$150,3,0)),"",VLOOKUP($E48,DD!$A$2:$C$150,3,0)))</f>
        <v/>
      </c>
      <c r="H48" s="59"/>
      <c r="I48" s="59"/>
      <c r="J48" s="59"/>
      <c r="K48" s="59"/>
      <c r="L48" s="59"/>
      <c r="M48" s="56"/>
      <c r="N48" s="57" t="str">
        <f t="shared" si="1"/>
        <v/>
      </c>
      <c r="O48" s="57" t="str">
        <f>IF(N48="","",N48+O47)</f>
        <v/>
      </c>
    </row>
    <row r="49" spans="1:15" x14ac:dyDescent="0.25">
      <c r="A49" s="100"/>
      <c r="B49" s="101"/>
      <c r="C49" s="102"/>
      <c r="D49" s="55">
        <v>3</v>
      </c>
      <c r="E49" s="56"/>
      <c r="F49" s="57" t="str">
        <f>IF($E49="","",IF(ISNA(VLOOKUP($E49,DD!$A$2:$C$150,2,0)),"NO SUCH DIVE",VLOOKUP($E49,DD!$A$2:$C$150,2,0)))</f>
        <v/>
      </c>
      <c r="G49" s="55" t="str">
        <f>IF($E49="","",IF(ISNA(VLOOKUP($E49,DD!$A$2:$C$150,3,0)),"",VLOOKUP($E49,DD!$A$2:$C$150,3,0)))</f>
        <v/>
      </c>
      <c r="H49" s="59"/>
      <c r="I49" s="59"/>
      <c r="J49" s="59"/>
      <c r="K49" s="59"/>
      <c r="L49" s="59"/>
      <c r="M49" s="56"/>
      <c r="N49" s="57" t="str">
        <f t="shared" si="1"/>
        <v/>
      </c>
      <c r="O49" s="60">
        <f>IF(N49="",0,N49+O48)</f>
        <v>0</v>
      </c>
    </row>
    <row r="50" spans="1:15" ht="13.9" customHeight="1" x14ac:dyDescent="0.25">
      <c r="A50" s="97">
        <v>17</v>
      </c>
      <c r="B50" s="98" t="s">
        <v>103</v>
      </c>
      <c r="C50" s="99" t="s">
        <v>49</v>
      </c>
      <c r="D50" s="46">
        <v>1</v>
      </c>
      <c r="E50" s="50" t="s">
        <v>45</v>
      </c>
      <c r="F50" s="45" t="str">
        <f>IF($E50="","",IF(ISNA(VLOOKUP($E50,DD!$A$2:$C$150,2,0)),"NO SUCH DIVE",VLOOKUP($E50,DD!$A$2:$C$150,2,0)))</f>
        <v>Front jump tuck</v>
      </c>
      <c r="G50" s="51">
        <f>IF($E50="","",IF(ISNA(VLOOKUP($E50,DD!$A$2:$C$150,3,0)),"",VLOOKUP($E50,DD!$A$2:$C$150,3,0)))</f>
        <v>0.6</v>
      </c>
      <c r="H50" s="52">
        <v>7.5</v>
      </c>
      <c r="I50" s="52">
        <v>8</v>
      </c>
      <c r="J50" s="52">
        <v>7</v>
      </c>
      <c r="K50" s="52">
        <v>7</v>
      </c>
      <c r="L50" s="52">
        <v>6.5</v>
      </c>
      <c r="M50" s="50"/>
      <c r="N50" s="45">
        <f t="shared" si="1"/>
        <v>12.9</v>
      </c>
      <c r="O50" s="45">
        <f>IF(N50="","",N50)</f>
        <v>12.9</v>
      </c>
    </row>
    <row r="51" spans="1:15" x14ac:dyDescent="0.25">
      <c r="A51" s="97"/>
      <c r="B51" s="98"/>
      <c r="C51" s="99"/>
      <c r="D51" s="46">
        <v>2</v>
      </c>
      <c r="E51" s="50" t="s">
        <v>50</v>
      </c>
      <c r="F51" s="45" t="str">
        <f>IF($E51="","",IF(ISNA(VLOOKUP($E51,DD!$A$2:$C$150,2,0)),"NO SUCH DIVE",VLOOKUP($E51,DD!$A$2:$C$150,2,0)))</f>
        <v>Back jump layout</v>
      </c>
      <c r="G51" s="51">
        <f>IF($E51="","",IF(ISNA(VLOOKUP($E51,DD!$A$2:$C$150,3,0)),"",VLOOKUP($E51,DD!$A$2:$C$150,3,0)))</f>
        <v>0.5</v>
      </c>
      <c r="H51" s="52">
        <v>7.5</v>
      </c>
      <c r="I51" s="52">
        <v>7</v>
      </c>
      <c r="J51" s="52">
        <v>7</v>
      </c>
      <c r="K51" s="52">
        <v>7.5</v>
      </c>
      <c r="L51" s="52">
        <v>7.5</v>
      </c>
      <c r="M51" s="50"/>
      <c r="N51" s="45">
        <f t="shared" si="1"/>
        <v>11</v>
      </c>
      <c r="O51" s="45">
        <f>IF(N51="","",N51+O50)</f>
        <v>23.9</v>
      </c>
    </row>
    <row r="52" spans="1:15" x14ac:dyDescent="0.25">
      <c r="A52" s="97"/>
      <c r="B52" s="98"/>
      <c r="C52" s="99"/>
      <c r="D52" s="46">
        <v>3</v>
      </c>
      <c r="E52" s="50" t="s">
        <v>89</v>
      </c>
      <c r="F52" s="45" t="str">
        <f>IF($E52="","",IF(ISNA(VLOOKUP($E52,DD!$A$2:$C$150,2,0)),"NO SUCH DIVE",VLOOKUP($E52,DD!$A$2:$C$150,2,0)))</f>
        <v>Front dive tuck</v>
      </c>
      <c r="G52" s="46">
        <f>IF($E52="","",IF(ISNA(VLOOKUP($E52,DD!$A$2:$C$150,3,0)),"",VLOOKUP($E52,DD!$A$2:$C$150,3,0)))</f>
        <v>1.3</v>
      </c>
      <c r="H52" s="52">
        <v>6.5</v>
      </c>
      <c r="I52" s="52">
        <v>6</v>
      </c>
      <c r="J52" s="52">
        <v>6.5</v>
      </c>
      <c r="K52" s="52">
        <v>7</v>
      </c>
      <c r="L52" s="52">
        <v>5.5</v>
      </c>
      <c r="M52" s="50"/>
      <c r="N52" s="45">
        <f t="shared" si="1"/>
        <v>24.7</v>
      </c>
      <c r="O52" s="54">
        <f>IF(N52="",0,N52+O51)</f>
        <v>48.599999999999994</v>
      </c>
    </row>
    <row r="53" spans="1:15" x14ac:dyDescent="0.25">
      <c r="A53" s="100">
        <v>18</v>
      </c>
      <c r="B53" s="101"/>
      <c r="C53" s="102"/>
      <c r="D53" s="55">
        <v>1</v>
      </c>
      <c r="E53" s="56"/>
      <c r="F53" s="57" t="str">
        <f>IF($E53="","",IF(ISNA(VLOOKUP($E53,DD!$A$2:$C$150,2,0)),"NO SUCH DIVE",VLOOKUP($E53,DD!$A$2:$C$150,2,0)))</f>
        <v/>
      </c>
      <c r="G53" s="58" t="str">
        <f>IF($E53="","",IF(ISNA(VLOOKUP($E53,DD!$A$2:$C$150,3,0)),"",VLOOKUP($E53,DD!$A$2:$C$150,3,0)))</f>
        <v/>
      </c>
      <c r="H53" s="59"/>
      <c r="I53" s="59"/>
      <c r="J53" s="59"/>
      <c r="K53" s="59"/>
      <c r="L53" s="59"/>
      <c r="M53" s="56"/>
      <c r="N53" s="57" t="str">
        <f t="shared" si="1"/>
        <v/>
      </c>
      <c r="O53" s="57" t="str">
        <f>IF(N53="","",N53)</f>
        <v/>
      </c>
    </row>
    <row r="54" spans="1:15" x14ac:dyDescent="0.25">
      <c r="A54" s="100"/>
      <c r="B54" s="101"/>
      <c r="C54" s="102"/>
      <c r="D54" s="55">
        <v>2</v>
      </c>
      <c r="E54" s="61"/>
      <c r="F54" s="57" t="str">
        <f>IF($E54="","",IF(ISNA(VLOOKUP($E54,DD!$A$2:$C$150,2,0)),"NO SUCH DIVE",VLOOKUP($E54,DD!$A$2:$C$150,2,0)))</f>
        <v/>
      </c>
      <c r="G54" s="58" t="str">
        <f>IF($E54="","",IF(ISNA(VLOOKUP($E54,DD!$A$2:$C$150,3,0)),"",VLOOKUP($E54,DD!$A$2:$C$150,3,0)))</f>
        <v/>
      </c>
      <c r="H54" s="59"/>
      <c r="I54" s="59"/>
      <c r="J54" s="59"/>
      <c r="K54" s="59"/>
      <c r="L54" s="59"/>
      <c r="M54" s="56"/>
      <c r="N54" s="57" t="str">
        <f t="shared" si="1"/>
        <v/>
      </c>
      <c r="O54" s="57" t="str">
        <f>IF(N54="","",N54+O53)</f>
        <v/>
      </c>
    </row>
    <row r="55" spans="1:15" x14ac:dyDescent="0.25">
      <c r="A55" s="100"/>
      <c r="B55" s="101"/>
      <c r="C55" s="102"/>
      <c r="D55" s="55">
        <v>3</v>
      </c>
      <c r="E55" s="61"/>
      <c r="F55" s="57" t="str">
        <f>IF($E55="","",IF(ISNA(VLOOKUP($E55,DD!$A$2:$C$150,2,0)),"NO SUCH DIVE",VLOOKUP($E55,DD!$A$2:$C$150,2,0)))</f>
        <v/>
      </c>
      <c r="G55" s="55" t="str">
        <f>IF($E55="","",IF(ISNA(VLOOKUP($E55,DD!$A$2:$C$150,3,0)),"",VLOOKUP($E55,DD!$A$2:$C$150,3,0)))</f>
        <v/>
      </c>
      <c r="H55" s="59"/>
      <c r="I55" s="59"/>
      <c r="J55" s="59"/>
      <c r="K55" s="59"/>
      <c r="L55" s="59"/>
      <c r="M55" s="56"/>
      <c r="N55" s="57" t="str">
        <f t="shared" si="1"/>
        <v/>
      </c>
      <c r="O55" s="60">
        <f>IF(N55="",0,N55+O54)</f>
        <v>0</v>
      </c>
    </row>
    <row r="56" spans="1:15" ht="13.9" customHeight="1" x14ac:dyDescent="0.25">
      <c r="A56" s="97">
        <v>19</v>
      </c>
      <c r="B56" s="98" t="s">
        <v>104</v>
      </c>
      <c r="C56" s="99" t="s">
        <v>49</v>
      </c>
      <c r="D56" s="46">
        <v>1</v>
      </c>
      <c r="E56" s="50" t="s">
        <v>54</v>
      </c>
      <c r="F56" s="45" t="str">
        <f>IF($E56="","",IF(ISNA(VLOOKUP($E56,DD!$A$2:$C$150,2,0)),"NO SUCH DIVE",VLOOKUP($E56,DD!$A$2:$C$150,2,0)))</f>
        <v>Front dive layout</v>
      </c>
      <c r="G56" s="51">
        <f>IF($E56="","",IF(ISNA(VLOOKUP($E56,DD!$A$2:$C$150,3,0)),"",VLOOKUP($E56,DD!$A$2:$C$150,3,0)))</f>
        <v>1.3</v>
      </c>
      <c r="H56" s="52">
        <v>4.5</v>
      </c>
      <c r="I56" s="52">
        <v>4.5</v>
      </c>
      <c r="J56" s="52">
        <v>5</v>
      </c>
      <c r="K56" s="52">
        <v>4.5</v>
      </c>
      <c r="L56" s="52">
        <v>4.5</v>
      </c>
      <c r="M56" s="50"/>
      <c r="N56" s="45">
        <f t="shared" si="1"/>
        <v>17.55</v>
      </c>
      <c r="O56" s="45">
        <f>IF(N56="","",N56)</f>
        <v>17.55</v>
      </c>
    </row>
    <row r="57" spans="1:15" x14ac:dyDescent="0.25">
      <c r="A57" s="97"/>
      <c r="B57" s="98"/>
      <c r="C57" s="99"/>
      <c r="D57" s="46">
        <v>2</v>
      </c>
      <c r="E57" s="50" t="s">
        <v>58</v>
      </c>
      <c r="F57" s="45" t="str">
        <f>IF($E57="","",IF(ISNA(VLOOKUP($E57,DD!$A$2:$C$150,2,0)),"NO SUCH DIVE",VLOOKUP($E57,DD!$A$2:$C$150,2,0)))</f>
        <v>Back dive layout</v>
      </c>
      <c r="G57" s="51">
        <f>IF($E57="","",IF(ISNA(VLOOKUP($E57,DD!$A$2:$C$150,3,0)),"",VLOOKUP($E57,DD!$A$2:$C$150,3,0)))</f>
        <v>1.4</v>
      </c>
      <c r="H57" s="52">
        <v>5.5</v>
      </c>
      <c r="I57" s="52">
        <v>6.5</v>
      </c>
      <c r="J57" s="52">
        <v>6</v>
      </c>
      <c r="K57" s="52">
        <v>5.5</v>
      </c>
      <c r="L57" s="52">
        <v>6</v>
      </c>
      <c r="M57" s="50"/>
      <c r="N57" s="45">
        <f t="shared" si="1"/>
        <v>24.5</v>
      </c>
      <c r="O57" s="45">
        <f>IF(N57="","",N57+O56)</f>
        <v>42.05</v>
      </c>
    </row>
    <row r="58" spans="1:15" x14ac:dyDescent="0.25">
      <c r="A58" s="97"/>
      <c r="B58" s="98"/>
      <c r="C58" s="99"/>
      <c r="D58" s="46">
        <v>3</v>
      </c>
      <c r="E58" s="50" t="s">
        <v>72</v>
      </c>
      <c r="F58" s="45" t="str">
        <f>IF($E58="","",IF(ISNA(VLOOKUP($E58,DD!$A$2:$C$150,2,0)),"NO SUCH DIVE",VLOOKUP($E58,DD!$A$2:$C$150,2,0)))</f>
        <v>Front somersault tuck</v>
      </c>
      <c r="G58" s="46">
        <f>IF($E58="","",IF(ISNA(VLOOKUP($E58,DD!$A$2:$C$150,3,0)),"",VLOOKUP($E58,DD!$A$2:$C$150,3,0)))</f>
        <v>1.4</v>
      </c>
      <c r="H58" s="52">
        <v>4</v>
      </c>
      <c r="I58" s="52">
        <v>4.5</v>
      </c>
      <c r="J58" s="52">
        <v>4</v>
      </c>
      <c r="K58" s="52">
        <v>3.5</v>
      </c>
      <c r="L58" s="52">
        <v>4</v>
      </c>
      <c r="M58" s="50"/>
      <c r="N58" s="45">
        <f t="shared" si="1"/>
        <v>16.799999999999997</v>
      </c>
      <c r="O58" s="54">
        <f>IF(N58="",0,N58+O57)</f>
        <v>58.849999999999994</v>
      </c>
    </row>
    <row r="59" spans="1:15" x14ac:dyDescent="0.25">
      <c r="A59" s="100">
        <v>20</v>
      </c>
      <c r="B59" s="101"/>
      <c r="C59" s="102"/>
      <c r="D59" s="55">
        <v>1</v>
      </c>
      <c r="E59" s="56"/>
      <c r="F59" s="57" t="str">
        <f>IF($E59="","",IF(ISNA(VLOOKUP($E59,DD!$A$2:$C$150,2,0)),"NO SUCH DIVE",VLOOKUP($E59,DD!$A$2:$C$150,2,0)))</f>
        <v/>
      </c>
      <c r="G59" s="58" t="str">
        <f>IF($E59="","",IF(ISNA(VLOOKUP($E59,DD!$A$2:$C$150,3,0)),"",VLOOKUP($E59,DD!$A$2:$C$150,3,0)))</f>
        <v/>
      </c>
      <c r="H59" s="59"/>
      <c r="I59" s="59"/>
      <c r="J59" s="59"/>
      <c r="K59" s="59"/>
      <c r="L59" s="59"/>
      <c r="M59" s="56"/>
      <c r="N59" s="57" t="str">
        <f t="shared" si="1"/>
        <v/>
      </c>
      <c r="O59" s="57" t="str">
        <f>IF(N59="","",N59)</f>
        <v/>
      </c>
    </row>
    <row r="60" spans="1:15" x14ac:dyDescent="0.25">
      <c r="A60" s="100"/>
      <c r="B60" s="101"/>
      <c r="C60" s="102"/>
      <c r="D60" s="55">
        <v>2</v>
      </c>
      <c r="E60" s="56"/>
      <c r="F60" s="57" t="str">
        <f>IF($E60="","",IF(ISNA(VLOOKUP($E60,DD!$A$2:$C$150,2,0)),"NO SUCH DIVE",VLOOKUP($E60,DD!$A$2:$C$150,2,0)))</f>
        <v/>
      </c>
      <c r="G60" s="58" t="str">
        <f>IF($E60="","",IF(ISNA(VLOOKUP($E60,DD!$A$2:$C$150,3,0)),"",VLOOKUP($E60,DD!$A$2:$C$150,3,0)))</f>
        <v/>
      </c>
      <c r="H60" s="59"/>
      <c r="I60" s="59"/>
      <c r="J60" s="59"/>
      <c r="K60" s="59"/>
      <c r="L60" s="59"/>
      <c r="M60" s="56"/>
      <c r="N60" s="57" t="str">
        <f t="shared" si="1"/>
        <v/>
      </c>
      <c r="O60" s="57" t="str">
        <f>IF(N60="","",N60+O59)</f>
        <v/>
      </c>
    </row>
    <row r="61" spans="1:15" x14ac:dyDescent="0.25">
      <c r="A61" s="100"/>
      <c r="B61" s="101"/>
      <c r="C61" s="102"/>
      <c r="D61" s="55">
        <v>3</v>
      </c>
      <c r="E61" s="56"/>
      <c r="F61" s="57" t="str">
        <f>IF($E61="","",IF(ISNA(VLOOKUP($E61,DD!$A$2:$C$150,2,0)),"NO SUCH DIVE",VLOOKUP($E61,DD!$A$2:$C$150,2,0)))</f>
        <v/>
      </c>
      <c r="G61" s="55" t="str">
        <f>IF($E61="","",IF(ISNA(VLOOKUP($E61,DD!$A$2:$C$150,3,0)),"",VLOOKUP($E61,DD!$A$2:$C$150,3,0)))</f>
        <v/>
      </c>
      <c r="H61" s="59"/>
      <c r="I61" s="59"/>
      <c r="J61" s="59"/>
      <c r="K61" s="59"/>
      <c r="L61" s="59"/>
      <c r="M61" s="56"/>
      <c r="N61" s="57" t="str">
        <f t="shared" si="1"/>
        <v/>
      </c>
      <c r="O61" s="60">
        <f>IF(N61="",0,N61+O60)</f>
        <v>0</v>
      </c>
    </row>
    <row r="62" spans="1:15" ht="13.9" customHeight="1" x14ac:dyDescent="0.25">
      <c r="A62" s="97">
        <v>21</v>
      </c>
      <c r="B62" s="98" t="s">
        <v>105</v>
      </c>
      <c r="C62" s="99" t="s">
        <v>49</v>
      </c>
      <c r="D62" s="46">
        <v>1</v>
      </c>
      <c r="E62" s="50" t="s">
        <v>89</v>
      </c>
      <c r="F62" s="45" t="str">
        <f>IF($E62="","",IF(ISNA(VLOOKUP($E62,DD!$A$2:$C$150,2,0)),"NO SUCH DIVE",VLOOKUP($E62,DD!$A$2:$C$150,2,0)))</f>
        <v>Front dive tuck</v>
      </c>
      <c r="G62" s="51">
        <f>IF($E62="","",IF(ISNA(VLOOKUP($E62,DD!$A$2:$C$150,3,0)),"",VLOOKUP($E62,DD!$A$2:$C$150,3,0)))</f>
        <v>1.3</v>
      </c>
      <c r="H62" s="52">
        <v>7</v>
      </c>
      <c r="I62" s="52">
        <v>7</v>
      </c>
      <c r="J62" s="52">
        <v>7.5</v>
      </c>
      <c r="K62" s="52">
        <v>7.5</v>
      </c>
      <c r="L62" s="52">
        <v>7.5</v>
      </c>
      <c r="M62" s="50"/>
      <c r="N62" s="45">
        <f t="shared" si="1"/>
        <v>28.6</v>
      </c>
      <c r="O62" s="45">
        <f>IF(N62="","",N62)</f>
        <v>28.6</v>
      </c>
    </row>
    <row r="63" spans="1:15" x14ac:dyDescent="0.25">
      <c r="A63" s="97"/>
      <c r="B63" s="98"/>
      <c r="C63" s="99"/>
      <c r="D63" s="46">
        <v>2</v>
      </c>
      <c r="E63" s="50" t="s">
        <v>58</v>
      </c>
      <c r="F63" s="45" t="str">
        <f>IF($E63="","",IF(ISNA(VLOOKUP($E63,DD!$A$2:$C$150,2,0)),"NO SUCH DIVE",VLOOKUP($E63,DD!$A$2:$C$150,2,0)))</f>
        <v>Back dive layout</v>
      </c>
      <c r="G63" s="51">
        <f>IF($E63="","",IF(ISNA(VLOOKUP($E63,DD!$A$2:$C$150,3,0)),"",VLOOKUP($E63,DD!$A$2:$C$150,3,0)))</f>
        <v>1.4</v>
      </c>
      <c r="H63" s="52">
        <v>6</v>
      </c>
      <c r="I63" s="52">
        <v>6.5</v>
      </c>
      <c r="J63" s="52">
        <v>6.5</v>
      </c>
      <c r="K63" s="52">
        <v>6.5</v>
      </c>
      <c r="L63" s="52">
        <v>6</v>
      </c>
      <c r="M63" s="50"/>
      <c r="N63" s="45">
        <f t="shared" si="1"/>
        <v>26.599999999999998</v>
      </c>
      <c r="O63" s="45">
        <f>IF(N63="","",N63+O62)</f>
        <v>55.2</v>
      </c>
    </row>
    <row r="64" spans="1:15" x14ac:dyDescent="0.25">
      <c r="A64" s="97"/>
      <c r="B64" s="98"/>
      <c r="C64" s="99"/>
      <c r="D64" s="46">
        <v>3</v>
      </c>
      <c r="E64" s="50" t="s">
        <v>72</v>
      </c>
      <c r="F64" s="45" t="str">
        <f>IF($E64="","",IF(ISNA(VLOOKUP($E64,DD!$A$2:$C$150,2,0)),"NO SUCH DIVE",VLOOKUP($E64,DD!$A$2:$C$150,2,0)))</f>
        <v>Front somersault tuck</v>
      </c>
      <c r="G64" s="46">
        <f>IF($E64="","",IF(ISNA(VLOOKUP($E64,DD!$A$2:$C$150,3,0)),"",VLOOKUP($E64,DD!$A$2:$C$150,3,0)))</f>
        <v>1.4</v>
      </c>
      <c r="H64" s="52">
        <v>5.5</v>
      </c>
      <c r="I64" s="52">
        <v>6</v>
      </c>
      <c r="J64" s="52">
        <v>6.5</v>
      </c>
      <c r="K64" s="52">
        <v>6.5</v>
      </c>
      <c r="L64" s="52">
        <v>7</v>
      </c>
      <c r="M64" s="50"/>
      <c r="N64" s="45">
        <f t="shared" si="1"/>
        <v>26.599999999999998</v>
      </c>
      <c r="O64" s="54">
        <f>IF(N64="",0,N64+O63)</f>
        <v>81.8</v>
      </c>
    </row>
    <row r="65" spans="1:20" ht="13.9" customHeight="1" x14ac:dyDescent="0.25">
      <c r="A65" s="100">
        <v>22</v>
      </c>
      <c r="B65" s="101" t="s">
        <v>106</v>
      </c>
      <c r="C65" s="102" t="s">
        <v>4</v>
      </c>
      <c r="D65" s="55">
        <v>1</v>
      </c>
      <c r="E65" s="56" t="s">
        <v>63</v>
      </c>
      <c r="F65" s="57" t="str">
        <f>IF($E65="","",IF(ISNA(VLOOKUP($E65,DD!$A$2:$C$150,2,0)),"NO SUCH DIVE",VLOOKUP($E65,DD!$A$2:$C$150,2,0)))</f>
        <v>Front jump layout</v>
      </c>
      <c r="G65" s="58">
        <f>IF($E65="","",IF(ISNA(VLOOKUP($E65,DD!$A$2:$C$150,3,0)),"",VLOOKUP($E65,DD!$A$2:$C$150,3,0)))</f>
        <v>0.5</v>
      </c>
      <c r="H65" s="59">
        <v>6.5</v>
      </c>
      <c r="I65" s="59">
        <v>6</v>
      </c>
      <c r="J65" s="59">
        <v>6</v>
      </c>
      <c r="K65" s="59">
        <v>6.5</v>
      </c>
      <c r="L65" s="59">
        <v>6</v>
      </c>
      <c r="M65" s="56"/>
      <c r="N65" s="57">
        <f t="shared" si="1"/>
        <v>9.25</v>
      </c>
      <c r="O65" s="57">
        <f>IF(N65="","",N65)</f>
        <v>9.25</v>
      </c>
    </row>
    <row r="66" spans="1:20" x14ac:dyDescent="0.25">
      <c r="A66" s="100"/>
      <c r="B66" s="101"/>
      <c r="C66" s="102"/>
      <c r="D66" s="55">
        <v>2</v>
      </c>
      <c r="E66" s="56" t="s">
        <v>50</v>
      </c>
      <c r="F66" s="57" t="str">
        <f>IF($E66="","",IF(ISNA(VLOOKUP($E66,DD!$A$2:$C$150,2,0)),"NO SUCH DIVE",VLOOKUP($E66,DD!$A$2:$C$150,2,0)))</f>
        <v>Back jump layout</v>
      </c>
      <c r="G66" s="58">
        <f>IF($E66="","",IF(ISNA(VLOOKUP($E66,DD!$A$2:$C$150,3,0)),"",VLOOKUP($E66,DD!$A$2:$C$150,3,0)))</f>
        <v>0.5</v>
      </c>
      <c r="H66" s="59">
        <v>6.5</v>
      </c>
      <c r="I66" s="59">
        <v>6.5</v>
      </c>
      <c r="J66" s="59">
        <v>6.5</v>
      </c>
      <c r="K66" s="59">
        <v>6.5</v>
      </c>
      <c r="L66" s="59">
        <v>6</v>
      </c>
      <c r="M66" s="56"/>
      <c r="N66" s="57">
        <f t="shared" ref="N66:N73" si="2">IF(G66="","",IF(COUNT(H66:L66)=3,IF(M66&lt;&gt;"",(SUM(H66:J66)-6)*G66,SUM(H66:J66)*G66),IF(M66&lt;&gt;"",(SUM(H66:L66)-MAX(H66:L66)-MIN(H66:L66)-6)*G66,(SUM(H66:L66)-MAX(H66:L66)-MIN(H66:L66))*G66)))</f>
        <v>9.75</v>
      </c>
      <c r="O66" s="57">
        <f>IF(N66="","",N66+O65)</f>
        <v>19</v>
      </c>
    </row>
    <row r="67" spans="1:20" x14ac:dyDescent="0.25">
      <c r="A67" s="100"/>
      <c r="B67" s="101"/>
      <c r="C67" s="102"/>
      <c r="D67" s="55">
        <v>3</v>
      </c>
      <c r="E67" s="56" t="s">
        <v>54</v>
      </c>
      <c r="F67" s="57" t="str">
        <f>IF($E67="","",IF(ISNA(VLOOKUP($E67,DD!$A$2:$C$150,2,0)),"NO SUCH DIVE",VLOOKUP($E67,DD!$A$2:$C$150,2,0)))</f>
        <v>Front dive layout</v>
      </c>
      <c r="G67" s="55">
        <f>IF($E67="","",IF(ISNA(VLOOKUP($E67,DD!$A$2:$C$150,3,0)),"",VLOOKUP($E67,DD!$A$2:$C$150,3,0)))</f>
        <v>1.3</v>
      </c>
      <c r="H67" s="59">
        <v>5</v>
      </c>
      <c r="I67" s="59">
        <v>5.5</v>
      </c>
      <c r="J67" s="59">
        <v>5</v>
      </c>
      <c r="K67" s="59">
        <v>4.5</v>
      </c>
      <c r="L67" s="59">
        <v>4.5</v>
      </c>
      <c r="M67" s="56"/>
      <c r="N67" s="57">
        <f t="shared" si="2"/>
        <v>18.850000000000001</v>
      </c>
      <c r="O67" s="60">
        <f>IF(N67="",0,N67+O66)</f>
        <v>37.85</v>
      </c>
    </row>
    <row r="68" spans="1:20" ht="13.9" customHeight="1" x14ac:dyDescent="0.25">
      <c r="A68" s="97">
        <v>23</v>
      </c>
      <c r="B68" s="98" t="s">
        <v>107</v>
      </c>
      <c r="C68" s="99" t="s">
        <v>52</v>
      </c>
      <c r="D68" s="46">
        <v>1</v>
      </c>
      <c r="E68" s="50" t="s">
        <v>89</v>
      </c>
      <c r="F68" s="45" t="str">
        <f>IF($E68="","",IF(ISNA(VLOOKUP($E68,DD!$A$2:$C$150,2,0)),"NO SUCH DIVE",VLOOKUP($E68,DD!$A$2:$C$150,2,0)))</f>
        <v>Front dive tuck</v>
      </c>
      <c r="G68" s="51">
        <f>IF($E68="","",IF(ISNA(VLOOKUP($E68,DD!$A$2:$C$150,3,0)),"",VLOOKUP($E68,DD!$A$2:$C$150,3,0)))</f>
        <v>1.3</v>
      </c>
      <c r="H68" s="52">
        <v>5.5</v>
      </c>
      <c r="I68" s="52">
        <v>5</v>
      </c>
      <c r="J68" s="52">
        <v>5.5</v>
      </c>
      <c r="K68" s="52">
        <v>5</v>
      </c>
      <c r="L68" s="52">
        <v>5</v>
      </c>
      <c r="M68" s="50"/>
      <c r="N68" s="45">
        <f t="shared" si="2"/>
        <v>20.150000000000002</v>
      </c>
      <c r="O68" s="45">
        <f>IF(N68="","",N68)</f>
        <v>20.150000000000002</v>
      </c>
    </row>
    <row r="69" spans="1:20" x14ac:dyDescent="0.25">
      <c r="A69" s="97"/>
      <c r="B69" s="98"/>
      <c r="C69" s="99"/>
      <c r="D69" s="46">
        <v>2</v>
      </c>
      <c r="E69" s="62" t="s">
        <v>58</v>
      </c>
      <c r="F69" s="45" t="str">
        <f>IF($E69="","",IF(ISNA(VLOOKUP($E69,DD!$A$2:$C$150,2,0)),"NO SUCH DIVE",VLOOKUP($E69,DD!$A$2:$C$150,2,0)))</f>
        <v>Back dive layout</v>
      </c>
      <c r="G69" s="51">
        <f>IF($E69="","",IF(ISNA(VLOOKUP($E69,DD!$A$2:$C$150,3,0)),"",VLOOKUP($E69,DD!$A$2:$C$150,3,0)))</f>
        <v>1.4</v>
      </c>
      <c r="H69" s="52">
        <v>4.5</v>
      </c>
      <c r="I69" s="52">
        <v>4.5</v>
      </c>
      <c r="J69" s="52">
        <v>5</v>
      </c>
      <c r="K69" s="52">
        <v>4.5</v>
      </c>
      <c r="L69" s="52">
        <v>4.5</v>
      </c>
      <c r="M69" s="50"/>
      <c r="N69" s="45">
        <f t="shared" si="2"/>
        <v>18.899999999999999</v>
      </c>
      <c r="O69" s="45">
        <f>IF(N69="","",N69+O68)</f>
        <v>39.049999999999997</v>
      </c>
    </row>
    <row r="70" spans="1:20" x14ac:dyDescent="0.25">
      <c r="A70" s="97"/>
      <c r="B70" s="98"/>
      <c r="C70" s="99"/>
      <c r="D70" s="46">
        <v>3</v>
      </c>
      <c r="E70" s="62" t="s">
        <v>64</v>
      </c>
      <c r="F70" s="45" t="str">
        <f>IF($E70="","",IF(ISNA(VLOOKUP($E70,DD!$A$2:$C$150,2,0)),"NO SUCH DIVE",VLOOKUP($E70,DD!$A$2:$C$150,2,0)))</f>
        <v>Back dive ½ twist layout</v>
      </c>
      <c r="G70" s="46">
        <f>IF($E70="","",IF(ISNA(VLOOKUP($E70,DD!$A$2:$C$150,3,0)),"",VLOOKUP($E70,DD!$A$2:$C$150,3,0)))</f>
        <v>1.4</v>
      </c>
      <c r="H70" s="52">
        <v>5</v>
      </c>
      <c r="I70" s="52">
        <v>5.5</v>
      </c>
      <c r="J70" s="52">
        <v>5</v>
      </c>
      <c r="K70" s="52">
        <v>4.5</v>
      </c>
      <c r="L70" s="52">
        <v>4.5</v>
      </c>
      <c r="M70" s="50"/>
      <c r="N70" s="45">
        <f t="shared" si="2"/>
        <v>20.299999999999997</v>
      </c>
      <c r="O70" s="54">
        <f>IF(N70="",0,N70+O69)</f>
        <v>59.349999999999994</v>
      </c>
    </row>
    <row r="71" spans="1:20" ht="13.9" customHeight="1" x14ac:dyDescent="0.25">
      <c r="A71" s="100">
        <v>24</v>
      </c>
      <c r="B71" s="101" t="s">
        <v>108</v>
      </c>
      <c r="C71" s="102" t="s">
        <v>52</v>
      </c>
      <c r="D71" s="55">
        <v>1</v>
      </c>
      <c r="E71" s="56" t="s">
        <v>45</v>
      </c>
      <c r="F71" s="57" t="str">
        <f>IF($E71="","",IF(ISNA(VLOOKUP($E71,DD!$A$2:$C$150,2,0)),"NO SUCH DIVE",VLOOKUP($E71,DD!$A$2:$C$150,2,0)))</f>
        <v>Front jump tuck</v>
      </c>
      <c r="G71" s="58">
        <f>IF($E71="","",IF(ISNA(VLOOKUP($E71,DD!$A$2:$C$150,3,0)),"",VLOOKUP($E71,DD!$A$2:$C$150,3,0)))</f>
        <v>0.6</v>
      </c>
      <c r="H71" s="59">
        <v>6</v>
      </c>
      <c r="I71" s="59">
        <v>5.5</v>
      </c>
      <c r="J71" s="59">
        <v>5.5</v>
      </c>
      <c r="K71" s="59">
        <v>5.5</v>
      </c>
      <c r="L71" s="59">
        <v>6</v>
      </c>
      <c r="M71" s="56"/>
      <c r="N71" s="57">
        <f t="shared" si="2"/>
        <v>10.199999999999999</v>
      </c>
      <c r="O71" s="57">
        <f>IF(N71="","",N71)</f>
        <v>10.199999999999999</v>
      </c>
    </row>
    <row r="72" spans="1:20" x14ac:dyDescent="0.25">
      <c r="A72" s="100"/>
      <c r="B72" s="101"/>
      <c r="C72" s="102"/>
      <c r="D72" s="55">
        <v>2</v>
      </c>
      <c r="E72" s="56" t="s">
        <v>46</v>
      </c>
      <c r="F72" s="57" t="str">
        <f>IF($E72="","",IF(ISNA(VLOOKUP($E72,DD!$A$2:$C$150,2,0)),"NO SUCH DIVE",VLOOKUP($E72,DD!$A$2:$C$150,2,0)))</f>
        <v>Back fall in</v>
      </c>
      <c r="G72" s="58">
        <f>IF($E72="","",IF(ISNA(VLOOKUP($E72,DD!$A$2:$C$150,3,0)),"",VLOOKUP($E72,DD!$A$2:$C$150,3,0)))</f>
        <v>1</v>
      </c>
      <c r="H72" s="59">
        <v>4</v>
      </c>
      <c r="I72" s="59">
        <v>5</v>
      </c>
      <c r="J72" s="59">
        <v>5.5</v>
      </c>
      <c r="K72" s="59">
        <v>6</v>
      </c>
      <c r="L72" s="59">
        <v>6</v>
      </c>
      <c r="M72" s="56"/>
      <c r="N72" s="57">
        <f t="shared" si="2"/>
        <v>16.5</v>
      </c>
      <c r="O72" s="57">
        <f>IF(N72="","",N72+O71)</f>
        <v>26.7</v>
      </c>
    </row>
    <row r="73" spans="1:20" x14ac:dyDescent="0.25">
      <c r="A73" s="100"/>
      <c r="B73" s="101"/>
      <c r="C73" s="102"/>
      <c r="D73" s="55">
        <v>3</v>
      </c>
      <c r="E73" s="56" t="s">
        <v>47</v>
      </c>
      <c r="F73" s="57" t="str">
        <f>IF($E73="","",IF(ISNA(VLOOKUP($E73,DD!$A$2:$C$150,2,0)),"NO SUCH DIVE",VLOOKUP($E73,DD!$A$2:$C$150,2,0)))</f>
        <v>Front fall-in</v>
      </c>
      <c r="G73" s="55">
        <f>IF($E73="","",IF(ISNA(VLOOKUP($E73,DD!$A$2:$C$150,3,0)),"",VLOOKUP($E73,DD!$A$2:$C$150,3,0)))</f>
        <v>1</v>
      </c>
      <c r="H73" s="59">
        <v>6</v>
      </c>
      <c r="I73" s="59">
        <v>6</v>
      </c>
      <c r="J73" s="59">
        <v>6</v>
      </c>
      <c r="K73" s="59">
        <v>7</v>
      </c>
      <c r="L73" s="59">
        <v>6</v>
      </c>
      <c r="M73" s="56"/>
      <c r="N73" s="57">
        <f t="shared" si="2"/>
        <v>18</v>
      </c>
      <c r="O73" s="60">
        <f>IF(N73="",0,N73+O72)</f>
        <v>44.7</v>
      </c>
    </row>
    <row r="74" spans="1:20" x14ac:dyDescent="0.25">
      <c r="B74" s="49"/>
      <c r="C74" s="49"/>
    </row>
    <row r="75" spans="1:20" ht="36" customHeight="1" x14ac:dyDescent="0.25">
      <c r="C75" s="63" t="s">
        <v>78</v>
      </c>
      <c r="D75" s="64" t="s">
        <v>79</v>
      </c>
      <c r="E75" s="65" t="s">
        <v>80</v>
      </c>
      <c r="F75" s="65" t="s">
        <v>27</v>
      </c>
      <c r="G75" s="65" t="s">
        <v>33</v>
      </c>
      <c r="H75" s="65" t="s">
        <v>81</v>
      </c>
      <c r="I75" s="66" t="s">
        <v>30</v>
      </c>
      <c r="R75" s="45" t="str">
        <f>INFO!$B$4</f>
        <v>Side</v>
      </c>
      <c r="S75" s="45" t="str">
        <f>INFO!$B$5</f>
        <v>ALPS</v>
      </c>
    </row>
    <row r="76" spans="1:20" x14ac:dyDescent="0.25">
      <c r="C76" s="67">
        <f>IF(E76&lt;1,0,1)</f>
        <v>1</v>
      </c>
      <c r="D76" s="68">
        <f>IF(OR(C76&lt;1,H76&lt;&gt;"",COUNTIF(T$76:T76,T76)&gt;3),"",VLOOKUP(C76-COUNTA(H$76:H76),DD!$E$24:$F$49,2))</f>
        <v>16</v>
      </c>
      <c r="E76" s="69">
        <f>IF(LARGE($R$2:$R$25,1)&lt;1,0,LARGE($R$2:$R$25,1))</f>
        <v>81.800021000000001</v>
      </c>
      <c r="F76" s="70" t="str">
        <f t="shared" ref="F76:F99" si="3">VLOOKUP(E76,$R$2:$T$26,2,0)</f>
        <v>Sarah Nelson</v>
      </c>
      <c r="G76" s="68" t="str">
        <f t="shared" ref="G76:G99" si="4">VLOOKUP(E76,$R$2:$T$26,3,0)</f>
        <v>HCP</v>
      </c>
      <c r="H76" s="71"/>
      <c r="I76" s="72" t="str">
        <f t="shared" ref="I76:I98" si="5">IF(AND(OR(C76=C75,C76=C77),C76&lt;&gt;0),"TIE","")</f>
        <v/>
      </c>
      <c r="R76" s="45">
        <f t="shared" ref="R76:R99" si="6">IF(G76=$R$75,D76,0)</f>
        <v>0</v>
      </c>
      <c r="S76" s="45">
        <f t="shared" ref="S76:S99" si="7">IF(G76=$S$75,D76,0)</f>
        <v>0</v>
      </c>
      <c r="T76" s="73" t="str">
        <f t="shared" ref="T76:T99" si="8">G76&amp;H76</f>
        <v>HCP</v>
      </c>
    </row>
    <row r="77" spans="1:20" x14ac:dyDescent="0.25">
      <c r="C77" s="67">
        <f>IF(E77&lt;1,0,IF(INT(E77*100)=INT(E76*100),C76,2))</f>
        <v>2</v>
      </c>
      <c r="D77" s="68">
        <f>IF(OR(C77&lt;1,H77&lt;&gt;"",COUNTIF(T$76:T77,T77)&gt;3),"",VLOOKUP(C77-COUNTA(H$76:H77),DD!$E$24:$F$49,2))</f>
        <v>14</v>
      </c>
      <c r="E77" s="69">
        <f>IF(LARGE($R$2:$R$25,2)&lt;1,0,LARGE($R$2:$R$25,2))</f>
        <v>75.900008</v>
      </c>
      <c r="F77" s="70" t="str">
        <f t="shared" si="3"/>
        <v>Jadyn Wener</v>
      </c>
      <c r="G77" s="68" t="str">
        <f t="shared" si="4"/>
        <v>MWAC</v>
      </c>
      <c r="H77" s="71"/>
      <c r="I77" s="72" t="str">
        <f t="shared" si="5"/>
        <v/>
      </c>
      <c r="R77" s="45">
        <f t="shared" si="6"/>
        <v>0</v>
      </c>
      <c r="S77" s="45">
        <f t="shared" si="7"/>
        <v>0</v>
      </c>
      <c r="T77" s="73" t="str">
        <f t="shared" si="8"/>
        <v>MWAC</v>
      </c>
    </row>
    <row r="78" spans="1:20" x14ac:dyDescent="0.25">
      <c r="C78" s="67">
        <f>IF(E78&lt;1,0,IF(INT(E78*100)=INT(E77*100),C77,3))</f>
        <v>3</v>
      </c>
      <c r="D78" s="68">
        <f>IF(OR(C78&lt;1,H78&lt;&gt;"",COUNTIF(T$76:T78,T78)&gt;3),"",VLOOKUP(C78-COUNTA(H$76:H78),DD!$E$24:$F$49,2))</f>
        <v>12</v>
      </c>
      <c r="E78" s="69">
        <f>IF(LARGE($R$2:$R$25,3)&lt;1,0,LARGE($R$2:$R$25,3))</f>
        <v>74.350009999999997</v>
      </c>
      <c r="F78" s="70" t="str">
        <f t="shared" si="3"/>
        <v>Julia Preda</v>
      </c>
      <c r="G78" s="68" t="str">
        <f t="shared" si="4"/>
        <v>Cedar</v>
      </c>
      <c r="H78" s="71"/>
      <c r="I78" s="72" t="str">
        <f t="shared" si="5"/>
        <v/>
      </c>
      <c r="R78" s="45">
        <f t="shared" si="6"/>
        <v>0</v>
      </c>
      <c r="S78" s="45">
        <f t="shared" si="7"/>
        <v>0</v>
      </c>
      <c r="T78" s="73" t="str">
        <f t="shared" si="8"/>
        <v>Cedar</v>
      </c>
    </row>
    <row r="79" spans="1:20" x14ac:dyDescent="0.25">
      <c r="C79" s="67">
        <f>IF(E79&lt;1,0,IF(INT(E79*100)=INT(E78*100),C78,4))</f>
        <v>4</v>
      </c>
      <c r="D79" s="68">
        <f>IF(OR(C79&lt;1,H79&lt;&gt;"",COUNTIF(T$76:T79,T79)&gt;3),"",VLOOKUP(C79-COUNTA(H$76:H79),DD!$E$24:$F$49,2))</f>
        <v>11</v>
      </c>
      <c r="E79" s="69">
        <f>IF(LARGE($R$2:$R$25,4)&lt;1,0,LARGE($R$2:$R$25,4))</f>
        <v>68.900013999999999</v>
      </c>
      <c r="F79" s="70" t="str">
        <f t="shared" si="3"/>
        <v>Lilli Atkinson</v>
      </c>
      <c r="G79" s="68" t="str">
        <f t="shared" si="4"/>
        <v>Side</v>
      </c>
      <c r="H79" s="71"/>
      <c r="I79" s="72" t="str">
        <f t="shared" si="5"/>
        <v/>
      </c>
      <c r="R79" s="45">
        <f t="shared" si="6"/>
        <v>11</v>
      </c>
      <c r="S79" s="45">
        <f t="shared" si="7"/>
        <v>0</v>
      </c>
      <c r="T79" s="73" t="str">
        <f t="shared" si="8"/>
        <v>Side</v>
      </c>
    </row>
    <row r="80" spans="1:20" x14ac:dyDescent="0.25">
      <c r="C80" s="67">
        <f>IF(E80&lt;1,0,IF(INT(E80*100)=INT(E79*100),C79,5))</f>
        <v>5</v>
      </c>
      <c r="D80" s="68">
        <f>IF(OR(C80&lt;1,H80&lt;&gt;"",COUNTIF(T$76:T80,T80)&gt;3),"",VLOOKUP(C80-COUNTA(H$76:H80),DD!$E$24:$F$49,2))</f>
        <v>10</v>
      </c>
      <c r="E80" s="69">
        <f>IF(LARGE($R$2:$R$25,5)&lt;1,0,LARGE($R$2:$R$25,5))</f>
        <v>68.200001</v>
      </c>
      <c r="F80" s="70" t="str">
        <f t="shared" si="3"/>
        <v>Alexandra Mier</v>
      </c>
      <c r="G80" s="68" t="str">
        <f t="shared" si="4"/>
        <v>WLRC</v>
      </c>
      <c r="H80" s="71"/>
      <c r="I80" s="72" t="str">
        <f t="shared" si="5"/>
        <v/>
      </c>
      <c r="R80" s="45">
        <f t="shared" si="6"/>
        <v>0</v>
      </c>
      <c r="S80" s="45">
        <f t="shared" si="7"/>
        <v>0</v>
      </c>
      <c r="T80" s="73" t="str">
        <f t="shared" si="8"/>
        <v>WLRC</v>
      </c>
    </row>
    <row r="81" spans="3:20" x14ac:dyDescent="0.25">
      <c r="C81" s="67">
        <f>IF(E81&lt;1,0,IF(INT(E81*100)=INT(E80*100),C80,6))</f>
        <v>6</v>
      </c>
      <c r="D81" s="68">
        <f>IF(OR(C81&lt;1,H81&lt;&gt;"",COUNTIF(T$76:T81,T81)&gt;3),"",VLOOKUP(C81-COUNTA(H$76:H81),DD!$E$24:$F$49,2))</f>
        <v>9</v>
      </c>
      <c r="E81" s="69">
        <f>IF(LARGE($R$2:$R$25,6)&lt;1,0,LARGE($R$2:$R$25,6))</f>
        <v>65.750005999999999</v>
      </c>
      <c r="F81" s="70" t="str">
        <f t="shared" si="3"/>
        <v>Emma McRobbie</v>
      </c>
      <c r="G81" s="68" t="str">
        <f t="shared" si="4"/>
        <v>Cedar</v>
      </c>
      <c r="H81" s="71"/>
      <c r="I81" s="72" t="str">
        <f t="shared" si="5"/>
        <v/>
      </c>
      <c r="R81" s="45">
        <f t="shared" si="6"/>
        <v>0</v>
      </c>
      <c r="S81" s="45">
        <f t="shared" si="7"/>
        <v>0</v>
      </c>
      <c r="T81" s="73" t="str">
        <f t="shared" si="8"/>
        <v>Cedar</v>
      </c>
    </row>
    <row r="82" spans="3:20" x14ac:dyDescent="0.25">
      <c r="C82" s="67">
        <f>IF(E82&lt;1,0,IF(INT(E82*100)=INT(E81*100),C81,7))</f>
        <v>7</v>
      </c>
      <c r="D82" s="68">
        <f>IF(OR(C82&lt;1,H82&lt;&gt;"",COUNTIF(T$76:T82,T82)&gt;3),"",VLOOKUP(C82-COUNTA(H$76:H82),DD!$E$24:$F$49,2))</f>
        <v>7</v>
      </c>
      <c r="E82" s="69">
        <f>IF(LARGE($R$2:$R$25,7)&lt;1,0,LARGE($R$2:$R$25,7))</f>
        <v>59.500011000000001</v>
      </c>
      <c r="F82" s="70" t="str">
        <f t="shared" si="3"/>
        <v>Katie Chiarella</v>
      </c>
      <c r="G82" s="68" t="str">
        <f t="shared" si="4"/>
        <v>PVPC</v>
      </c>
      <c r="H82" s="71"/>
      <c r="I82" s="72" t="str">
        <f t="shared" si="5"/>
        <v/>
      </c>
      <c r="R82" s="45">
        <f t="shared" si="6"/>
        <v>0</v>
      </c>
      <c r="S82" s="45">
        <f t="shared" si="7"/>
        <v>0</v>
      </c>
      <c r="T82" s="73" t="str">
        <f t="shared" si="8"/>
        <v>PVPC</v>
      </c>
    </row>
    <row r="83" spans="3:20" x14ac:dyDescent="0.25">
      <c r="C83" s="67">
        <f>IF(E83&lt;1,0,IF(INT(E83*100)=INT(E82*100),C82,8))</f>
        <v>8</v>
      </c>
      <c r="D83" s="68">
        <f>IF(OR(C83&lt;1,H83&lt;&gt;"",COUNTIF(T$76:T83,T83)&gt;3),"",VLOOKUP(C83-COUNTA(H$76:H83),DD!$E$24:$F$49,2))</f>
        <v>5</v>
      </c>
      <c r="E83" s="69">
        <f>IF(LARGE($R$2:$R$25,8)&lt;1,0,LARGE($R$2:$R$25,8))</f>
        <v>59.350022999999993</v>
      </c>
      <c r="F83" s="70" t="str">
        <f t="shared" si="3"/>
        <v>Sheryl Young</v>
      </c>
      <c r="G83" s="68" t="str">
        <f t="shared" si="4"/>
        <v>Val</v>
      </c>
      <c r="H83" s="71"/>
      <c r="I83" s="72" t="str">
        <f t="shared" si="5"/>
        <v/>
      </c>
      <c r="R83" s="45">
        <f t="shared" si="6"/>
        <v>0</v>
      </c>
      <c r="S83" s="45">
        <f t="shared" si="7"/>
        <v>0</v>
      </c>
      <c r="T83" s="73" t="str">
        <f t="shared" si="8"/>
        <v>Val</v>
      </c>
    </row>
    <row r="84" spans="3:20" x14ac:dyDescent="0.25">
      <c r="C84" s="67">
        <f>IF(E84&lt;1,0,IF(INT(E84*100)=INT(E83*100),C83,9))</f>
        <v>9</v>
      </c>
      <c r="D84" s="68">
        <f>IF(OR(C84&lt;1,H84&lt;&gt;"",COUNTIF(T$76:T84,T84)&gt;3),"",VLOOKUP(C84-COUNTA(H$76:H84),DD!$E$24:$F$49,2))</f>
        <v>4</v>
      </c>
      <c r="E84" s="69">
        <f>IF(LARGE($R$2:$R$25,9)&lt;1,0,LARGE($R$2:$R$25,9))</f>
        <v>59.300011999999995</v>
      </c>
      <c r="F84" s="70" t="str">
        <f t="shared" si="3"/>
        <v>Kayleigh Wilds</v>
      </c>
      <c r="G84" s="68" t="str">
        <f t="shared" si="4"/>
        <v>Val</v>
      </c>
      <c r="H84" s="71"/>
      <c r="I84" s="72" t="str">
        <f t="shared" si="5"/>
        <v/>
      </c>
      <c r="R84" s="45">
        <f t="shared" si="6"/>
        <v>0</v>
      </c>
      <c r="S84" s="45">
        <f t="shared" si="7"/>
        <v>0</v>
      </c>
      <c r="T84" s="73" t="str">
        <f t="shared" si="8"/>
        <v>Val</v>
      </c>
    </row>
    <row r="85" spans="3:20" x14ac:dyDescent="0.25">
      <c r="C85" s="67">
        <f>IF(E85&lt;1,0,IF(INT(E85*100)=INT(E84*100),C84,10))</f>
        <v>10</v>
      </c>
      <c r="D85" s="68">
        <f>IF(OR(C85&lt;1,H85&lt;&gt;"",COUNTIF(T$76:T85,T85)&gt;3),"",VLOOKUP(C85-COUNTA(H$76:H85),DD!$E$24:$F$49,2))</f>
        <v>3</v>
      </c>
      <c r="E85" s="69">
        <f>IF(LARGE($R$2:$R$25,10)&lt;1,0,LARGE($R$2:$R$25,10))</f>
        <v>58.850018999999996</v>
      </c>
      <c r="F85" s="70" t="str">
        <f t="shared" si="3"/>
        <v>Olivia Roy</v>
      </c>
      <c r="G85" s="68" t="str">
        <f t="shared" si="4"/>
        <v>HCP</v>
      </c>
      <c r="H85" s="71"/>
      <c r="I85" s="72" t="str">
        <f t="shared" si="5"/>
        <v/>
      </c>
      <c r="R85" s="45">
        <f t="shared" si="6"/>
        <v>0</v>
      </c>
      <c r="S85" s="45">
        <f t="shared" si="7"/>
        <v>0</v>
      </c>
      <c r="T85" s="73" t="str">
        <f t="shared" si="8"/>
        <v>HCP</v>
      </c>
    </row>
    <row r="86" spans="3:20" x14ac:dyDescent="0.25">
      <c r="C86" s="67">
        <f>IF(E86&lt;1,0,IF(INT(E86*100)=INT(E85*100),C85,11))</f>
        <v>11</v>
      </c>
      <c r="D86" s="68">
        <f>IF(OR(C86&lt;1,H86&lt;&gt;"",COUNTIF(T$76:T86,T86)&gt;3),"",VLOOKUP(C86-COUNTA(H$76:H86),DD!$E$24:$F$49,2))</f>
        <v>2</v>
      </c>
      <c r="E86" s="69">
        <f>IF(LARGE($R$2:$R$25,11)&lt;1,0,LARGE($R$2:$R$25,11))</f>
        <v>53.850015000000006</v>
      </c>
      <c r="F86" s="70" t="str">
        <f t="shared" si="3"/>
        <v xml:space="preserve">Lily Phaneuf </v>
      </c>
      <c r="G86" s="68" t="str">
        <f t="shared" si="4"/>
        <v>MWAC</v>
      </c>
      <c r="H86" s="71"/>
      <c r="I86" s="72" t="str">
        <f t="shared" si="5"/>
        <v/>
      </c>
      <c r="R86" s="45">
        <f t="shared" si="6"/>
        <v>0</v>
      </c>
      <c r="S86" s="45">
        <f t="shared" si="7"/>
        <v>0</v>
      </c>
      <c r="T86" s="73" t="str">
        <f t="shared" si="8"/>
        <v>MWAC</v>
      </c>
    </row>
    <row r="87" spans="3:20" x14ac:dyDescent="0.25">
      <c r="C87" s="67">
        <f>IF(E87&lt;1,0,IF(INT(E87*100)=INT(E86*100),C86,12))</f>
        <v>12</v>
      </c>
      <c r="D87" s="68">
        <f>IF(OR(C87&lt;1,H87&lt;&gt;"",COUNTIF(T$76:T87,T87)&gt;3),"",VLOOKUP(C87-COUNTA(H$76:H87),DD!$E$24:$F$49,2))</f>
        <v>1</v>
      </c>
      <c r="E87" s="69">
        <f>IF(LARGE($R$2:$R$25,12)&lt;1,0,LARGE($R$2:$R$25,12))</f>
        <v>53.550002000000006</v>
      </c>
      <c r="F87" s="70" t="str">
        <f t="shared" si="3"/>
        <v>Anna Nyisztor</v>
      </c>
      <c r="G87" s="68" t="str">
        <f t="shared" si="4"/>
        <v>Val</v>
      </c>
      <c r="H87" s="71"/>
      <c r="I87" s="72" t="str">
        <f t="shared" si="5"/>
        <v/>
      </c>
      <c r="R87" s="45">
        <f t="shared" si="6"/>
        <v>0</v>
      </c>
      <c r="S87" s="45">
        <f t="shared" si="7"/>
        <v>0</v>
      </c>
      <c r="T87" s="73" t="str">
        <f t="shared" si="8"/>
        <v>Val</v>
      </c>
    </row>
    <row r="88" spans="3:20" x14ac:dyDescent="0.25">
      <c r="C88" s="67">
        <f>IF(E88&lt;1,0,IF(INT(E88*100)=INT(E87*100),C87,13))</f>
        <v>13</v>
      </c>
      <c r="D88" s="68" t="str">
        <f>IF(OR(C88&lt;1,H88&lt;&gt;"",COUNTIF(T$76:T88,T88)&gt;3),"",VLOOKUP(C88-COUNTA(H$76:H88),DD!$E$24:$F$49,2))</f>
        <v/>
      </c>
      <c r="E88" s="69">
        <f>IF(LARGE($R$2:$R$25,13)&lt;1,0,LARGE($R$2:$R$25,13))</f>
        <v>51.400005</v>
      </c>
      <c r="F88" s="70" t="str">
        <f t="shared" si="3"/>
        <v>Emily Hennon</v>
      </c>
      <c r="G88" s="68" t="str">
        <f t="shared" si="4"/>
        <v>Val</v>
      </c>
      <c r="H88" s="71"/>
      <c r="I88" s="72" t="str">
        <f t="shared" si="5"/>
        <v/>
      </c>
      <c r="R88" s="45">
        <f t="shared" si="6"/>
        <v>0</v>
      </c>
      <c r="S88" s="45">
        <f t="shared" si="7"/>
        <v>0</v>
      </c>
      <c r="T88" s="73" t="str">
        <f t="shared" si="8"/>
        <v>Val</v>
      </c>
    </row>
    <row r="89" spans="3:20" x14ac:dyDescent="0.25">
      <c r="C89" s="67">
        <f>IF(E89&lt;1,0,IF(INT(E89*100)=INT(E88*100),C88,14))</f>
        <v>14</v>
      </c>
      <c r="D89" s="68">
        <f>IF(OR(C89&lt;1,H89&lt;&gt;"",COUNTIF(T$76:T89,T89)&gt;3),"",VLOOKUP(C89-COUNTA(H$76:H89),DD!$E$24:$F$49,2))</f>
        <v>0</v>
      </c>
      <c r="E89" s="69">
        <f>IF(LARGE($R$2:$R$25,14)&lt;1,0,LARGE($R$2:$R$25,14))</f>
        <v>48.600016999999994</v>
      </c>
      <c r="F89" s="70" t="str">
        <f t="shared" si="3"/>
        <v>Mikaelle Pomerleau</v>
      </c>
      <c r="G89" s="68" t="str">
        <f t="shared" si="4"/>
        <v>HCP</v>
      </c>
      <c r="H89" s="71"/>
      <c r="I89" s="72" t="str">
        <f t="shared" si="5"/>
        <v/>
      </c>
      <c r="R89" s="45">
        <f t="shared" si="6"/>
        <v>0</v>
      </c>
      <c r="S89" s="45">
        <f t="shared" si="7"/>
        <v>0</v>
      </c>
      <c r="T89" s="73" t="str">
        <f t="shared" si="8"/>
        <v>HCP</v>
      </c>
    </row>
    <row r="90" spans="3:20" x14ac:dyDescent="0.25">
      <c r="C90" s="67">
        <f>IF(E90&lt;1,0,IF(INT(E90*100)=INT(E89*100),C89,15))</f>
        <v>15</v>
      </c>
      <c r="D90" s="68" t="str">
        <f>IF(OR(C90&lt;1,H90&lt;&gt;"",COUNTIF(T$76:T90,T90)&gt;3),"",VLOOKUP(C90-COUNTA(H$76:H90),DD!$E$24:$F$49,2))</f>
        <v/>
      </c>
      <c r="E90" s="69">
        <f>IF(LARGE($R$2:$R$25,15)&lt;1,0,LARGE($R$2:$R$25,15))</f>
        <v>44.700024000000006</v>
      </c>
      <c r="F90" s="70" t="str">
        <f t="shared" si="3"/>
        <v>Alexandra Janidlo</v>
      </c>
      <c r="G90" s="68" t="str">
        <f t="shared" si="4"/>
        <v>Val</v>
      </c>
      <c r="H90" s="71"/>
      <c r="I90" s="72" t="str">
        <f t="shared" si="5"/>
        <v/>
      </c>
      <c r="R90" s="45">
        <f t="shared" si="6"/>
        <v>0</v>
      </c>
      <c r="S90" s="45">
        <f t="shared" si="7"/>
        <v>0</v>
      </c>
      <c r="T90" s="73" t="str">
        <f t="shared" si="8"/>
        <v>Val</v>
      </c>
    </row>
    <row r="91" spans="3:20" x14ac:dyDescent="0.25">
      <c r="C91" s="67">
        <f>IF(E91&lt;1,0,IF(INT(E91*100)=INT(E90*100),C90,16))</f>
        <v>16</v>
      </c>
      <c r="D91" s="68">
        <f>IF(OR(C91&lt;1,H91&lt;&gt;"",COUNTIF(T$76:T91,T91)&gt;3),"",VLOOKUP(C91-COUNTA(H$76:H91),DD!$E$24:$F$49,2))</f>
        <v>0</v>
      </c>
      <c r="E91" s="69">
        <f>IF(LARGE($R$2:$R$25,16)&lt;1,0,LARGE($R$2:$R$25,16))</f>
        <v>38.350006999999991</v>
      </c>
      <c r="F91" s="70" t="str">
        <f t="shared" si="3"/>
        <v>Emma Morello</v>
      </c>
      <c r="G91" s="68" t="str">
        <f t="shared" si="4"/>
        <v>Cedar</v>
      </c>
      <c r="H91" s="71"/>
      <c r="I91" s="72" t="str">
        <f t="shared" si="5"/>
        <v/>
      </c>
      <c r="R91" s="45">
        <f t="shared" si="6"/>
        <v>0</v>
      </c>
      <c r="S91" s="45">
        <f t="shared" si="7"/>
        <v>0</v>
      </c>
      <c r="T91" s="73" t="str">
        <f t="shared" si="8"/>
        <v>Cedar</v>
      </c>
    </row>
    <row r="92" spans="3:20" x14ac:dyDescent="0.25">
      <c r="C92" s="67">
        <f>IF(E92&lt;1,0,IF(INT(E92*100)=INT(E91*100),C91,17))</f>
        <v>17</v>
      </c>
      <c r="D92" s="68">
        <f>IF(OR(C92&lt;1,H92&lt;&gt;"",COUNTIF(T$76:T92,T92)&gt;3),"",VLOOKUP(C92-COUNTA(H$76:H92),DD!$E$24:$F$49,2))</f>
        <v>0</v>
      </c>
      <c r="E92" s="69">
        <f>IF(LARGE($R$2:$R$25,17)&lt;1,0,LARGE($R$2:$R$25,17))</f>
        <v>37.850022000000003</v>
      </c>
      <c r="F92" s="70" t="str">
        <f t="shared" si="3"/>
        <v>Shayla Mcmahon</v>
      </c>
      <c r="G92" s="68" t="str">
        <f t="shared" si="4"/>
        <v>Side</v>
      </c>
      <c r="H92" s="71"/>
      <c r="I92" s="72" t="str">
        <f t="shared" si="5"/>
        <v/>
      </c>
      <c r="R92" s="45">
        <f t="shared" si="6"/>
        <v>0</v>
      </c>
      <c r="S92" s="45">
        <f t="shared" si="7"/>
        <v>0</v>
      </c>
      <c r="T92" s="73" t="str">
        <f t="shared" si="8"/>
        <v>Side</v>
      </c>
    </row>
    <row r="93" spans="3:20" x14ac:dyDescent="0.25">
      <c r="C93" s="67">
        <f>IF(E93&lt;1,0,IF(INT(E93*100)=INT(E92*100),C92,18))</f>
        <v>18</v>
      </c>
      <c r="D93" s="68" t="str">
        <f>IF(OR(C93&lt;1,H93&lt;&gt;"",COUNTIF(T$76:T93,T93)&gt;3),"",VLOOKUP(C93-COUNTA(H$76:H93),DD!$E$24:$F$49,2))</f>
        <v/>
      </c>
      <c r="E93" s="69">
        <f>IF(LARGE($R$2:$R$25,18)&lt;1,0,LARGE($R$2:$R$25,18))</f>
        <v>37.350013000000004</v>
      </c>
      <c r="F93" s="70" t="str">
        <f t="shared" si="3"/>
        <v>Keira Brady</v>
      </c>
      <c r="G93" s="68" t="str">
        <f t="shared" si="4"/>
        <v>Cedar</v>
      </c>
      <c r="H93" s="71"/>
      <c r="I93" s="72" t="str">
        <f t="shared" si="5"/>
        <v/>
      </c>
      <c r="R93" s="45">
        <f t="shared" si="6"/>
        <v>0</v>
      </c>
      <c r="S93" s="45">
        <f t="shared" si="7"/>
        <v>0</v>
      </c>
      <c r="T93" s="73" t="str">
        <f t="shared" si="8"/>
        <v>Cedar</v>
      </c>
    </row>
    <row r="94" spans="3:20" x14ac:dyDescent="0.25">
      <c r="C94" s="67">
        <f>IF(E94&lt;1,0,IF(INT(E94*100)=INT(E93*100),C93,19))</f>
        <v>19</v>
      </c>
      <c r="D94" s="68" t="str">
        <f>IF(OR(C94&lt;1,H94&lt;&gt;"",COUNTIF(T$76:T94,T94)&gt;3),"",VLOOKUP(C94-COUNTA(H$76:H94),DD!$E$24:$F$49,2))</f>
        <v/>
      </c>
      <c r="E94" s="69">
        <f>IF(LARGE($R$2:$R$25,19)&lt;1,0,LARGE($R$2:$R$25,19))</f>
        <v>35.350003999999998</v>
      </c>
      <c r="F94" s="70" t="str">
        <f t="shared" si="3"/>
        <v>Clara Terziyan</v>
      </c>
      <c r="G94" s="68" t="str">
        <f t="shared" si="4"/>
        <v>Cedar</v>
      </c>
      <c r="H94" s="71"/>
      <c r="I94" s="72" t="str">
        <f t="shared" si="5"/>
        <v/>
      </c>
      <c r="R94" s="45">
        <f t="shared" si="6"/>
        <v>0</v>
      </c>
      <c r="S94" s="45">
        <f t="shared" si="7"/>
        <v>0</v>
      </c>
      <c r="T94" s="73" t="str">
        <f t="shared" si="8"/>
        <v>Cedar</v>
      </c>
    </row>
    <row r="95" spans="3:20" x14ac:dyDescent="0.25">
      <c r="C95" s="67">
        <f>IF(E95&lt;1,0,IF(INT(E95*100)=INT(E94*100),C94,20))</f>
        <v>0</v>
      </c>
      <c r="D95" s="68" t="str">
        <f>IF(OR(C95&lt;1,H95&lt;&gt;"",COUNTIF(T$76:T95,T95)&gt;3),"",VLOOKUP(C95-COUNTA(H$76:H95),DD!$E$24:$F$49,2))</f>
        <v/>
      </c>
      <c r="E95" s="69">
        <f>IF(LARGE($R$2:$R$25,20)&lt;1,0,LARGE($R$2:$R$25,20))</f>
        <v>0</v>
      </c>
      <c r="F95" s="70">
        <f t="shared" si="3"/>
        <v>0</v>
      </c>
      <c r="G95" s="68">
        <f t="shared" si="4"/>
        <v>0</v>
      </c>
      <c r="H95" s="71"/>
      <c r="I95" s="72" t="str">
        <f t="shared" si="5"/>
        <v/>
      </c>
      <c r="R95" s="45">
        <f t="shared" si="6"/>
        <v>0</v>
      </c>
      <c r="S95" s="45">
        <f t="shared" si="7"/>
        <v>0</v>
      </c>
      <c r="T95" s="73" t="str">
        <f t="shared" si="8"/>
        <v>0</v>
      </c>
    </row>
    <row r="96" spans="3:20" x14ac:dyDescent="0.25">
      <c r="C96" s="67">
        <f>IF(E96&lt;1,0,IF(INT(E96*100)=INT(E95*100),C95,21))</f>
        <v>0</v>
      </c>
      <c r="D96" s="68" t="str">
        <f>IF(OR(C96&lt;1,H96&lt;&gt;"",COUNTIF(T$76:T96,T96)&gt;3),"",VLOOKUP(C96-COUNTA(H$76:H96),DD!$E$24:$F$49,2))</f>
        <v/>
      </c>
      <c r="E96" s="69">
        <f>IF(LARGE($R$2:$R$25,21)&lt;1,0,LARGE($R$2:$R$25,21))</f>
        <v>0</v>
      </c>
      <c r="F96" s="70">
        <f t="shared" si="3"/>
        <v>0</v>
      </c>
      <c r="G96" s="68">
        <f t="shared" si="4"/>
        <v>0</v>
      </c>
      <c r="H96" s="71"/>
      <c r="I96" s="72" t="str">
        <f t="shared" si="5"/>
        <v/>
      </c>
      <c r="R96" s="45">
        <f t="shared" si="6"/>
        <v>0</v>
      </c>
      <c r="S96" s="45">
        <f t="shared" si="7"/>
        <v>0</v>
      </c>
      <c r="T96" s="73" t="str">
        <f t="shared" si="8"/>
        <v>0</v>
      </c>
    </row>
    <row r="97" spans="3:20" x14ac:dyDescent="0.25">
      <c r="C97" s="67">
        <f>IF(E97&lt;1,0,IF(INT(E97*100)=INT(E96*100),C96,22))</f>
        <v>0</v>
      </c>
      <c r="D97" s="68" t="str">
        <f>IF(OR(C97&lt;1,H97&lt;&gt;"",COUNTIF(T$76:T97,T97)&gt;3),"",VLOOKUP(C97-COUNTA(H$76:H97),DD!$E$24:$F$49,2))</f>
        <v/>
      </c>
      <c r="E97" s="69">
        <f>IF(LARGE($R$2:$R$25,22)&lt;1,0,LARGE($R$2:$R$25,22))</f>
        <v>0</v>
      </c>
      <c r="F97" s="70">
        <f t="shared" si="3"/>
        <v>0</v>
      </c>
      <c r="G97" s="68">
        <f t="shared" si="4"/>
        <v>0</v>
      </c>
      <c r="H97" s="71"/>
      <c r="I97" s="72" t="str">
        <f t="shared" si="5"/>
        <v/>
      </c>
      <c r="R97" s="45">
        <f t="shared" si="6"/>
        <v>0</v>
      </c>
      <c r="S97" s="45">
        <f t="shared" si="7"/>
        <v>0</v>
      </c>
      <c r="T97" s="73" t="str">
        <f t="shared" si="8"/>
        <v>0</v>
      </c>
    </row>
    <row r="98" spans="3:20" x14ac:dyDescent="0.25">
      <c r="C98" s="67">
        <f>IF(E98&lt;1,0,IF(INT(E98*100)=INT(E97*100),C97,23))</f>
        <v>0</v>
      </c>
      <c r="D98" s="68" t="str">
        <f>IF(OR(C98&lt;1,H98&lt;&gt;"",COUNTIF(T$76:T98,T98)&gt;3),"",VLOOKUP(C98-COUNTA(H$76:H98),DD!$E$24:$F$49,2))</f>
        <v/>
      </c>
      <c r="E98" s="69">
        <f>IF(LARGE($R$2:$R$25,23)&lt;1,0,LARGE($R$2:$R$25,23))</f>
        <v>0</v>
      </c>
      <c r="F98" s="70">
        <f t="shared" si="3"/>
        <v>0</v>
      </c>
      <c r="G98" s="68">
        <f t="shared" si="4"/>
        <v>0</v>
      </c>
      <c r="H98" s="71"/>
      <c r="I98" s="72" t="str">
        <f t="shared" si="5"/>
        <v/>
      </c>
      <c r="R98" s="45">
        <f t="shared" si="6"/>
        <v>0</v>
      </c>
      <c r="S98" s="45">
        <f t="shared" si="7"/>
        <v>0</v>
      </c>
      <c r="T98" s="73" t="str">
        <f t="shared" si="8"/>
        <v>0</v>
      </c>
    </row>
    <row r="99" spans="3:20" x14ac:dyDescent="0.25">
      <c r="C99" s="67">
        <f>IF(E99&lt;1,0,IF(INT(E99*100)=INT(E98*100),C98,24))</f>
        <v>0</v>
      </c>
      <c r="D99" s="68" t="str">
        <f>IF(OR(C99&lt;1,H99&lt;&gt;"",COUNTIF(T$76:T99,T99)&gt;3),"",VLOOKUP(C99-COUNTA(H$76:H99),DD!$E$24:$F$49,2))</f>
        <v/>
      </c>
      <c r="E99" s="69">
        <f>IF(LARGE($R$2:$R$25,24)&lt;1,0,LARGE($R$2:$R$25,24))</f>
        <v>0</v>
      </c>
      <c r="F99" s="70">
        <f t="shared" si="3"/>
        <v>0</v>
      </c>
      <c r="G99" s="68">
        <f t="shared" si="4"/>
        <v>0</v>
      </c>
      <c r="H99" s="71"/>
      <c r="I99" s="72" t="str">
        <f>IF(AND(C99=C98,C99&lt;&gt;0),"TIE","")</f>
        <v/>
      </c>
      <c r="R99" s="45">
        <f t="shared" si="6"/>
        <v>0</v>
      </c>
      <c r="S99" s="45">
        <f t="shared" si="7"/>
        <v>0</v>
      </c>
      <c r="T99" s="73" t="str">
        <f t="shared" si="8"/>
        <v>0</v>
      </c>
    </row>
    <row r="100" spans="3:20" x14ac:dyDescent="0.25">
      <c r="C100" s="74"/>
      <c r="D100" s="75"/>
      <c r="E100" s="76"/>
      <c r="F100" s="77"/>
      <c r="G100" s="75"/>
      <c r="H100" s="78"/>
      <c r="I100" s="79"/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1347" priority="2">
      <formula>IF(SUM(G2:G3)&gt;3.7,1,0)</formula>
    </cfRule>
  </conditionalFormatting>
  <conditionalFormatting sqref="G2">
    <cfRule type="expression" dxfId="1346" priority="3">
      <formula>IF(SUM(G2:G3)&gt;3.7,1,0)</formula>
    </cfRule>
  </conditionalFormatting>
  <conditionalFormatting sqref="E3">
    <cfRule type="expression" dxfId="1345" priority="4">
      <formula>IF(E3="",0,IF(LEFT(E3,1)=LEFT(E2,1),1,0))</formula>
    </cfRule>
  </conditionalFormatting>
  <conditionalFormatting sqref="E4">
    <cfRule type="expression" dxfId="1344" priority="5">
      <formula>IF(E4="",0,IF(OR(LEFT(E4,LEN(E4)-1)=LEFT(E3,LEN(E3)-1),LEFT(E4,LEN(E4)-1)=LEFT(E2,LEN(E2)-1)),1,0))</formula>
    </cfRule>
  </conditionalFormatting>
  <conditionalFormatting sqref="G6">
    <cfRule type="expression" dxfId="1343" priority="6">
      <formula>IF(SUM(G5:G6)&gt;3.7,1,0)</formula>
    </cfRule>
  </conditionalFormatting>
  <conditionalFormatting sqref="G5">
    <cfRule type="expression" dxfId="1342" priority="7">
      <formula>IF(SUM(G5:G6)&gt;3.7,1,0)</formula>
    </cfRule>
  </conditionalFormatting>
  <conditionalFormatting sqref="E6">
    <cfRule type="expression" dxfId="1341" priority="8">
      <formula>IF(E6="",0,IF(LEFT(E6,1)=LEFT(E5,1),1,0))</formula>
    </cfRule>
  </conditionalFormatting>
  <conditionalFormatting sqref="E7">
    <cfRule type="expression" dxfId="1340" priority="9">
      <formula>IF(E7="",0,IF(OR(LEFT(E7,LEN(E7)-1)=LEFT(E6,LEN(E6)-1),LEFT(E7,LEN(E7)-1)=LEFT(E5,LEN(E5)-1)),1,0))</formula>
    </cfRule>
  </conditionalFormatting>
  <conditionalFormatting sqref="G9">
    <cfRule type="expression" dxfId="1339" priority="10">
      <formula>IF(SUM(G8:G9)&gt;3.7,1,0)</formula>
    </cfRule>
  </conditionalFormatting>
  <conditionalFormatting sqref="G8">
    <cfRule type="expression" dxfId="1338" priority="11">
      <formula>IF(SUM(G8:G9)&gt;3.7,1,0)</formula>
    </cfRule>
  </conditionalFormatting>
  <conditionalFormatting sqref="E9">
    <cfRule type="expression" dxfId="1337" priority="12">
      <formula>IF(E9="",0,IF(LEFT(E9,1)=LEFT(E8,1),1,0))</formula>
    </cfRule>
  </conditionalFormatting>
  <conditionalFormatting sqref="E10">
    <cfRule type="expression" dxfId="1336" priority="13">
      <formula>IF(E10="",0,IF(OR(LEFT(E10,LEN(E10)-1)=LEFT(E9,LEN(E9)-1),LEFT(E10,LEN(E10)-1)=LEFT(E8,LEN(E8)-1)),1,0))</formula>
    </cfRule>
  </conditionalFormatting>
  <conditionalFormatting sqref="G12">
    <cfRule type="expression" dxfId="1335" priority="14">
      <formula>IF(SUM(G11:G12)&gt;3.7,1,0)</formula>
    </cfRule>
  </conditionalFormatting>
  <conditionalFormatting sqref="G11">
    <cfRule type="expression" dxfId="1334" priority="15">
      <formula>IF(SUM(G11:G12)&gt;3.7,1,0)</formula>
    </cfRule>
  </conditionalFormatting>
  <conditionalFormatting sqref="E12">
    <cfRule type="expression" dxfId="1333" priority="16">
      <formula>IF(E12="",0,IF(LEFT(E12,1)=LEFT(E11,1),1,0))</formula>
    </cfRule>
  </conditionalFormatting>
  <conditionalFormatting sqref="E13">
    <cfRule type="expression" dxfId="1332" priority="17">
      <formula>IF(E13="",0,IF(OR(LEFT(E13,LEN(E13)-1)=LEFT(E12,LEN(E12)-1),LEFT(E13,LEN(E13)-1)=LEFT(E11,LEN(E11)-1)),1,0))</formula>
    </cfRule>
  </conditionalFormatting>
  <conditionalFormatting sqref="G15">
    <cfRule type="expression" dxfId="1331" priority="18">
      <formula>IF(SUM(G14:G15)&gt;3.7,1,0)</formula>
    </cfRule>
  </conditionalFormatting>
  <conditionalFormatting sqref="G14">
    <cfRule type="expression" dxfId="1330" priority="19">
      <formula>IF(SUM(G14:G15)&gt;3.7,1,0)</formula>
    </cfRule>
  </conditionalFormatting>
  <conditionalFormatting sqref="E15">
    <cfRule type="expression" dxfId="1329" priority="20">
      <formula>IF(E15="",0,IF(LEFT(E15,1)=LEFT(E14,1),1,0))</formula>
    </cfRule>
  </conditionalFormatting>
  <conditionalFormatting sqref="E16">
    <cfRule type="expression" dxfId="1328" priority="21">
      <formula>IF(E16="",0,IF(OR(LEFT(E16,LEN(E16)-1)=LEFT(E15,LEN(E15)-1),LEFT(E16,LEN(E16)-1)=LEFT(E14,LEN(E14)-1)),1,0))</formula>
    </cfRule>
  </conditionalFormatting>
  <conditionalFormatting sqref="G18">
    <cfRule type="expression" dxfId="1327" priority="22">
      <formula>IF(SUM(G17:G18)&gt;3.7,1,0)</formula>
    </cfRule>
  </conditionalFormatting>
  <conditionalFormatting sqref="G17">
    <cfRule type="expression" dxfId="1326" priority="23">
      <formula>IF(SUM(G17:G18)&gt;3.7,1,0)</formula>
    </cfRule>
  </conditionalFormatting>
  <conditionalFormatting sqref="E18">
    <cfRule type="expression" dxfId="1325" priority="24">
      <formula>IF(E18="",0,IF(LEFT(E18,1)=LEFT(E17,1),1,0))</formula>
    </cfRule>
  </conditionalFormatting>
  <conditionalFormatting sqref="E19">
    <cfRule type="expression" dxfId="1324" priority="25">
      <formula>IF(E19="",0,IF(OR(LEFT(E19,LEN(E19)-1)=LEFT(E18,LEN(E18)-1),LEFT(E19,LEN(E19)-1)=LEFT(E17,LEN(E17)-1)),1,0))</formula>
    </cfRule>
  </conditionalFormatting>
  <conditionalFormatting sqref="G21">
    <cfRule type="expression" dxfId="1323" priority="26">
      <formula>IF(SUM(G20:G21)&gt;3.7,1,0)</formula>
    </cfRule>
  </conditionalFormatting>
  <conditionalFormatting sqref="G20">
    <cfRule type="expression" dxfId="1322" priority="27">
      <formula>IF(SUM(G20:G21)&gt;3.7,1,0)</formula>
    </cfRule>
  </conditionalFormatting>
  <conditionalFormatting sqref="E21">
    <cfRule type="expression" dxfId="1321" priority="28">
      <formula>IF(E21="",0,IF(LEFT(E21,1)=LEFT(E20,1),1,0))</formula>
    </cfRule>
  </conditionalFormatting>
  <conditionalFormatting sqref="E22">
    <cfRule type="expression" dxfId="1320" priority="29">
      <formula>IF(E22="",0,IF(OR(LEFT(E22,LEN(E22)-1)=LEFT(E21,LEN(E21)-1),LEFT(E22,LEN(E22)-1)=LEFT(E20,LEN(E20)-1)),1,0))</formula>
    </cfRule>
  </conditionalFormatting>
  <conditionalFormatting sqref="G24">
    <cfRule type="expression" dxfId="1319" priority="30">
      <formula>IF(SUM(G23:G24)&gt;3.7,1,0)</formula>
    </cfRule>
  </conditionalFormatting>
  <conditionalFormatting sqref="G23">
    <cfRule type="expression" dxfId="1318" priority="31">
      <formula>IF(SUM(G23:G24)&gt;3.7,1,0)</formula>
    </cfRule>
  </conditionalFormatting>
  <conditionalFormatting sqref="E24">
    <cfRule type="expression" dxfId="1317" priority="32">
      <formula>IF(E24="",0,IF(LEFT(E24,1)=LEFT(E23,1),1,0))</formula>
    </cfRule>
  </conditionalFormatting>
  <conditionalFormatting sqref="E25">
    <cfRule type="expression" dxfId="1316" priority="33">
      <formula>IF(E25="",0,IF(OR(LEFT(E25,LEN(E25)-1)=LEFT(E24,LEN(E24)-1),LEFT(E25,LEN(E25)-1)=LEFT(E23,LEN(E23)-1)),1,0))</formula>
    </cfRule>
  </conditionalFormatting>
  <conditionalFormatting sqref="G27">
    <cfRule type="expression" dxfId="1315" priority="34">
      <formula>IF(SUM(G26:G27)&gt;3.7,1,0)</formula>
    </cfRule>
  </conditionalFormatting>
  <conditionalFormatting sqref="G26">
    <cfRule type="expression" dxfId="1314" priority="35">
      <formula>IF(SUM(G26:G27)&gt;3.7,1,0)</formula>
    </cfRule>
  </conditionalFormatting>
  <conditionalFormatting sqref="E27">
    <cfRule type="expression" dxfId="1313" priority="36">
      <formula>IF(E27="",0,IF(LEFT(E27,1)=LEFT(E26,1),1,0))</formula>
    </cfRule>
  </conditionalFormatting>
  <conditionalFormatting sqref="E28">
    <cfRule type="expression" dxfId="1312" priority="37">
      <formula>IF(E28="",0,IF(OR(LEFT(E28,LEN(E28)-1)=LEFT(E27,LEN(E27)-1),LEFT(E28,LEN(E28)-1)=LEFT(E26,LEN(E26)-1)),1,0))</formula>
    </cfRule>
  </conditionalFormatting>
  <conditionalFormatting sqref="G30">
    <cfRule type="expression" dxfId="1311" priority="38">
      <formula>IF(SUM(G29:G30)&gt;3.7,1,0)</formula>
    </cfRule>
  </conditionalFormatting>
  <conditionalFormatting sqref="G29">
    <cfRule type="expression" dxfId="1310" priority="39">
      <formula>IF(SUM(G29:G30)&gt;3.7,1,0)</formula>
    </cfRule>
  </conditionalFormatting>
  <conditionalFormatting sqref="E30">
    <cfRule type="expression" dxfId="1309" priority="40">
      <formula>IF(E30="",0,IF(LEFT(E30,1)=LEFT(E29,1),1,0))</formula>
    </cfRule>
  </conditionalFormatting>
  <conditionalFormatting sqref="E31">
    <cfRule type="expression" dxfId="1308" priority="41">
      <formula>IF(E31="",0,IF(OR(LEFT(E31,LEN(E31)-1)=LEFT(E30,LEN(E30)-1),LEFT(E31,LEN(E31)-1)=LEFT(E29,LEN(E29)-1)),1,0))</formula>
    </cfRule>
  </conditionalFormatting>
  <conditionalFormatting sqref="G33">
    <cfRule type="expression" dxfId="1307" priority="42">
      <formula>IF(SUM(G32:G33)&gt;3.7,1,0)</formula>
    </cfRule>
  </conditionalFormatting>
  <conditionalFormatting sqref="G32">
    <cfRule type="expression" dxfId="1306" priority="43">
      <formula>IF(SUM(G32:G33)&gt;3.7,1,0)</formula>
    </cfRule>
  </conditionalFormatting>
  <conditionalFormatting sqref="E33">
    <cfRule type="expression" dxfId="1305" priority="44">
      <formula>IF(E33="",0,IF(LEFT(E33,1)=LEFT(E32,1),1,0))</formula>
    </cfRule>
  </conditionalFormatting>
  <conditionalFormatting sqref="E34">
    <cfRule type="expression" dxfId="1304" priority="45">
      <formula>IF(E34="",0,IF(OR(LEFT(E34,LEN(E34)-1)=LEFT(E33,LEN(E33)-1),LEFT(E34,LEN(E34)-1)=LEFT(E32,LEN(E32)-1)),1,0))</formula>
    </cfRule>
  </conditionalFormatting>
  <conditionalFormatting sqref="G36">
    <cfRule type="expression" dxfId="1303" priority="46">
      <formula>IF(SUM(G35:G36)&gt;3.7,1,0)</formula>
    </cfRule>
  </conditionalFormatting>
  <conditionalFormatting sqref="G35">
    <cfRule type="expression" dxfId="1302" priority="47">
      <formula>IF(SUM(G35:G36)&gt;3.7,1,0)</formula>
    </cfRule>
  </conditionalFormatting>
  <conditionalFormatting sqref="E36">
    <cfRule type="expression" dxfId="1301" priority="48">
      <formula>IF(E36="",0,IF(LEFT(E36,1)=LEFT(E35,1),1,0))</formula>
    </cfRule>
  </conditionalFormatting>
  <conditionalFormatting sqref="E37">
    <cfRule type="expression" dxfId="1300" priority="49">
      <formula>IF(E37="",0,IF(OR(LEFT(E37,LEN(E37)-1)=LEFT(E36,LEN(E36)-1),LEFT(E37,LEN(E37)-1)=LEFT(E35,LEN(E35)-1)),1,0))</formula>
    </cfRule>
  </conditionalFormatting>
  <conditionalFormatting sqref="G39">
    <cfRule type="expression" dxfId="1299" priority="50">
      <formula>IF(SUM(G38:G39)&gt;3.7,1,0)</formula>
    </cfRule>
  </conditionalFormatting>
  <conditionalFormatting sqref="G38">
    <cfRule type="expression" dxfId="1298" priority="51">
      <formula>IF(SUM(G38:G39)&gt;3.7,1,0)</formula>
    </cfRule>
  </conditionalFormatting>
  <conditionalFormatting sqref="E39">
    <cfRule type="expression" dxfId="1297" priority="52">
      <formula>IF(E39="",0,IF(LEFT(E39,1)=LEFT(E38,1),1,0))</formula>
    </cfRule>
  </conditionalFormatting>
  <conditionalFormatting sqref="E40">
    <cfRule type="expression" dxfId="1296" priority="53">
      <formula>IF(E40="",0,IF(OR(LEFT(E40,LEN(E40)-1)=LEFT(E39,LEN(E39)-1),LEFT(E40,LEN(E40)-1)=LEFT(E38,LEN(E38)-1)),1,0))</formula>
    </cfRule>
  </conditionalFormatting>
  <conditionalFormatting sqref="G42">
    <cfRule type="expression" dxfId="1295" priority="54">
      <formula>IF(SUM(G41:G42)&gt;3.7,1,0)</formula>
    </cfRule>
  </conditionalFormatting>
  <conditionalFormatting sqref="G41">
    <cfRule type="expression" dxfId="1294" priority="55">
      <formula>IF(SUM(G41:G42)&gt;3.7,1,0)</formula>
    </cfRule>
  </conditionalFormatting>
  <conditionalFormatting sqref="E42">
    <cfRule type="expression" dxfId="1293" priority="56">
      <formula>IF(E42="",0,IF(LEFT(E42,1)=LEFT(E41,1),1,0))</formula>
    </cfRule>
  </conditionalFormatting>
  <conditionalFormatting sqref="E43">
    <cfRule type="expression" dxfId="1292" priority="57">
      <formula>IF(E43="",0,IF(OR(LEFT(E43,LEN(E43)-1)=LEFT(E42,LEN(E42)-1),LEFT(E43,LEN(E43)-1)=LEFT(E41,LEN(E41)-1)),1,0))</formula>
    </cfRule>
  </conditionalFormatting>
  <conditionalFormatting sqref="G45">
    <cfRule type="expression" dxfId="1291" priority="58">
      <formula>IF(SUM(G44:G45)&gt;3.7,1,0)</formula>
    </cfRule>
  </conditionalFormatting>
  <conditionalFormatting sqref="G44">
    <cfRule type="expression" dxfId="1290" priority="59">
      <formula>IF(SUM(G44:G45)&gt;3.7,1,0)</formula>
    </cfRule>
  </conditionalFormatting>
  <conditionalFormatting sqref="E45">
    <cfRule type="expression" dxfId="1289" priority="60">
      <formula>IF(E45="",0,IF(LEFT(E45,1)=LEFT(E44,1),1,0))</formula>
    </cfRule>
  </conditionalFormatting>
  <conditionalFormatting sqref="E46">
    <cfRule type="expression" dxfId="1288" priority="61">
      <formula>IF(E46="",0,IF(OR(LEFT(E46,LEN(E46)-1)=LEFT(E45,LEN(E45)-1),LEFT(E46,LEN(E46)-1)=LEFT(E44,LEN(E44)-1)),1,0))</formula>
    </cfRule>
  </conditionalFormatting>
  <conditionalFormatting sqref="G48">
    <cfRule type="expression" dxfId="1287" priority="62">
      <formula>IF(SUM(G47:G48)&gt;3.7,1,0)</formula>
    </cfRule>
  </conditionalFormatting>
  <conditionalFormatting sqref="G47">
    <cfRule type="expression" dxfId="1286" priority="63">
      <formula>IF(SUM(G47:G48)&gt;3.7,1,0)</formula>
    </cfRule>
  </conditionalFormatting>
  <conditionalFormatting sqref="E48">
    <cfRule type="expression" dxfId="1285" priority="64">
      <formula>IF(E48="",0,IF(LEFT(E48,1)=LEFT(E47,1),1,0))</formula>
    </cfRule>
  </conditionalFormatting>
  <conditionalFormatting sqref="E49">
    <cfRule type="expression" dxfId="1284" priority="65">
      <formula>IF(E49="",0,IF(OR(LEFT(E49,LEN(E49)-1)=LEFT(E48,LEN(E48)-1),LEFT(E49,LEN(E49)-1)=LEFT(E47,LEN(E47)-1)),1,0))</formula>
    </cfRule>
  </conditionalFormatting>
  <conditionalFormatting sqref="G51">
    <cfRule type="expression" dxfId="1283" priority="66">
      <formula>IF(SUM(G50:G51)&gt;3.7,1,0)</formula>
    </cfRule>
  </conditionalFormatting>
  <conditionalFormatting sqref="G50">
    <cfRule type="expression" dxfId="1282" priority="67">
      <formula>IF(SUM(G50:G51)&gt;3.7,1,0)</formula>
    </cfRule>
  </conditionalFormatting>
  <conditionalFormatting sqref="E51">
    <cfRule type="expression" dxfId="1281" priority="68">
      <formula>IF(E51="",0,IF(LEFT(E51,1)=LEFT(E50,1),1,0))</formula>
    </cfRule>
  </conditionalFormatting>
  <conditionalFormatting sqref="E52">
    <cfRule type="expression" dxfId="1280" priority="69">
      <formula>IF(E52="",0,IF(OR(LEFT(E52,LEN(E52)-1)=LEFT(E51,LEN(E51)-1),LEFT(E52,LEN(E52)-1)=LEFT(E50,LEN(E50)-1)),1,0))</formula>
    </cfRule>
  </conditionalFormatting>
  <conditionalFormatting sqref="G54">
    <cfRule type="expression" dxfId="1279" priority="70">
      <formula>IF(SUM(G53:G54)&gt;3.7,1,0)</formula>
    </cfRule>
  </conditionalFormatting>
  <conditionalFormatting sqref="G53">
    <cfRule type="expression" dxfId="1278" priority="71">
      <formula>IF(SUM(G53:G54)&gt;3.7,1,0)</formula>
    </cfRule>
  </conditionalFormatting>
  <conditionalFormatting sqref="E54">
    <cfRule type="expression" dxfId="1277" priority="72">
      <formula>IF(E54="",0,IF(LEFT(E54,1)=LEFT(E53,1),1,0))</formula>
    </cfRule>
  </conditionalFormatting>
  <conditionalFormatting sqref="E55">
    <cfRule type="expression" dxfId="1276" priority="73">
      <formula>IF(E55="",0,IF(OR(LEFT(E55,LEN(E55)-1)=LEFT(E54,LEN(E54)-1),LEFT(E55,LEN(E55)-1)=LEFT(E53,LEN(E53)-1)),1,0))</formula>
    </cfRule>
  </conditionalFormatting>
  <conditionalFormatting sqref="G57">
    <cfRule type="expression" dxfId="1275" priority="74">
      <formula>IF(SUM(G56:G57)&gt;3.7,1,0)</formula>
    </cfRule>
  </conditionalFormatting>
  <conditionalFormatting sqref="G56">
    <cfRule type="expression" dxfId="1274" priority="75">
      <formula>IF(SUM(G56:G57)&gt;3.7,1,0)</formula>
    </cfRule>
  </conditionalFormatting>
  <conditionalFormatting sqref="E57">
    <cfRule type="expression" dxfId="1273" priority="76">
      <formula>IF(E57="",0,IF(LEFT(E57,1)=LEFT(E56,1),1,0))</formula>
    </cfRule>
  </conditionalFormatting>
  <conditionalFormatting sqref="E58">
    <cfRule type="expression" dxfId="1272" priority="77">
      <formula>IF(E58="",0,IF(OR(LEFT(E58,LEN(E58)-1)=LEFT(E57,LEN(E57)-1),LEFT(E58,LEN(E58)-1)=LEFT(E56,LEN(E56)-1)),1,0))</formula>
    </cfRule>
  </conditionalFormatting>
  <conditionalFormatting sqref="G60">
    <cfRule type="expression" dxfId="1271" priority="78">
      <formula>IF(SUM(G59:G60)&gt;3.7,1,0)</formula>
    </cfRule>
  </conditionalFormatting>
  <conditionalFormatting sqref="G59">
    <cfRule type="expression" dxfId="1270" priority="79">
      <formula>IF(SUM(G59:G60)&gt;3.7,1,0)</formula>
    </cfRule>
  </conditionalFormatting>
  <conditionalFormatting sqref="E60">
    <cfRule type="expression" dxfId="1269" priority="80">
      <formula>IF(E60="",0,IF(LEFT(E60,1)=LEFT(E59,1),1,0))</formula>
    </cfRule>
  </conditionalFormatting>
  <conditionalFormatting sqref="E61">
    <cfRule type="expression" dxfId="1268" priority="81">
      <formula>IF(E61="",0,IF(OR(LEFT(E61,LEN(E61)-1)=LEFT(E60,LEN(E60)-1),LEFT(E61,LEN(E61)-1)=LEFT(E59,LEN(E59)-1)),1,0))</formula>
    </cfRule>
  </conditionalFormatting>
  <conditionalFormatting sqref="G63">
    <cfRule type="expression" dxfId="1267" priority="82">
      <formula>IF(SUM(G62:G63)&gt;3.7,1,0)</formula>
    </cfRule>
  </conditionalFormatting>
  <conditionalFormatting sqref="G62">
    <cfRule type="expression" dxfId="1266" priority="83">
      <formula>IF(SUM(G62:G63)&gt;3.7,1,0)</formula>
    </cfRule>
  </conditionalFormatting>
  <conditionalFormatting sqref="E63">
    <cfRule type="expression" dxfId="1265" priority="84">
      <formula>IF(E63="",0,IF(LEFT(E63,1)=LEFT(E62,1),1,0))</formula>
    </cfRule>
  </conditionalFormatting>
  <conditionalFormatting sqref="E64">
    <cfRule type="expression" dxfId="1264" priority="85">
      <formula>IF(E64="",0,IF(OR(LEFT(E64,LEN(E64)-1)=LEFT(E63,LEN(E63)-1),LEFT(E64,LEN(E64)-1)=LEFT(E62,LEN(E62)-1)),1,0))</formula>
    </cfRule>
  </conditionalFormatting>
  <conditionalFormatting sqref="G66">
    <cfRule type="expression" dxfId="1263" priority="86">
      <formula>IF(SUM(G65:G66)&gt;3.7,1,0)</formula>
    </cfRule>
  </conditionalFormatting>
  <conditionalFormatting sqref="G65">
    <cfRule type="expression" dxfId="1262" priority="87">
      <formula>IF(SUM(G65:G66)&gt;3.7,1,0)</formula>
    </cfRule>
  </conditionalFormatting>
  <conditionalFormatting sqref="E66">
    <cfRule type="expression" dxfId="1261" priority="88">
      <formula>IF(E66="",0,IF(LEFT(E66,1)=LEFT(E65,1),1,0))</formula>
    </cfRule>
  </conditionalFormatting>
  <conditionalFormatting sqref="E67">
    <cfRule type="expression" dxfId="1260" priority="89">
      <formula>IF(E67="",0,IF(OR(LEFT(E67,LEN(E67)-1)=LEFT(E66,LEN(E66)-1),LEFT(E67,LEN(E67)-1)=LEFT(E65,LEN(E65)-1)),1,0))</formula>
    </cfRule>
  </conditionalFormatting>
  <conditionalFormatting sqref="G69">
    <cfRule type="expression" dxfId="1259" priority="90">
      <formula>IF(SUM(G68:G69)&gt;3.7,1,0)</formula>
    </cfRule>
  </conditionalFormatting>
  <conditionalFormatting sqref="G68">
    <cfRule type="expression" dxfId="1258" priority="91">
      <formula>IF(SUM(G68:G69)&gt;3.7,1,0)</formula>
    </cfRule>
  </conditionalFormatting>
  <conditionalFormatting sqref="E69">
    <cfRule type="expression" dxfId="1257" priority="92">
      <formula>IF(E69="",0,IF(LEFT(E69,1)=LEFT(E68,1),1,0))</formula>
    </cfRule>
  </conditionalFormatting>
  <conditionalFormatting sqref="E70">
    <cfRule type="expression" dxfId="1256" priority="93">
      <formula>IF(E70="",0,IF(OR(LEFT(E70,LEN(E70)-1)=LEFT(E69,LEN(E69)-1),LEFT(E70,LEN(E70)-1)=LEFT(E68,LEN(E68)-1)),1,0))</formula>
    </cfRule>
  </conditionalFormatting>
  <conditionalFormatting sqref="G72">
    <cfRule type="expression" dxfId="1255" priority="94">
      <formula>IF(SUM(G71:G72)&gt;3.7,1,0)</formula>
    </cfRule>
  </conditionalFormatting>
  <conditionalFormatting sqref="G71">
    <cfRule type="expression" dxfId="1254" priority="95">
      <formula>IF(SUM(G71:G72)&gt;3.7,1,0)</formula>
    </cfRule>
  </conditionalFormatting>
  <conditionalFormatting sqref="E72">
    <cfRule type="expression" dxfId="1253" priority="96">
      <formula>IF(E72="",0,IF(LEFT(E72,1)=LEFT(E71,1),1,0))</formula>
    </cfRule>
  </conditionalFormatting>
  <conditionalFormatting sqref="E73">
    <cfRule type="expression" dxfId="1252" priority="97">
      <formula>IF(E73="",0,IF(OR(LEFT(E73,LEN(E73)-1)=LEFT(E72,LEN(E72)-1),LEFT(E73,LEN(E73)-1)=LEFT(E71,LEN(E71)-1)),1,0))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C2:C73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"/>
  <sheetViews>
    <sheetView zoomScaleNormal="100" workbookViewId="0">
      <pane ySplit="1" topLeftCell="A2" activePane="bottomLeft" state="frozen"/>
      <selection pane="bottomLeft" activeCell="E26" sqref="E26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8.2851562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5.85546875" style="45" hidden="1" customWidth="1"/>
    <col min="20" max="20" width="9.14062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x14ac:dyDescent="0.25">
      <c r="A2" s="97">
        <v>1</v>
      </c>
      <c r="B2" s="109" t="s">
        <v>384</v>
      </c>
      <c r="C2" s="111" t="s">
        <v>57</v>
      </c>
      <c r="D2" s="46">
        <v>1</v>
      </c>
      <c r="E2" s="113" t="s">
        <v>45</v>
      </c>
      <c r="F2" s="45" t="str">
        <f>IF($E2="","",IF(ISNA(VLOOKUP($E2,DD!$A$2:$C$150,2,0)),"NO SUCH DIVE",VLOOKUP($E2,DD!$A$2:$C$150,2,0)))</f>
        <v>Front jump tuck</v>
      </c>
      <c r="G2" s="51">
        <f>IF($E2="","",IF(ISNA(VLOOKUP($E2,DD!$A$2:$C$150,3,0)),"",VLOOKUP($E2,DD!$A$2:$C$150,3,0)))</f>
        <v>0.6</v>
      </c>
      <c r="H2" s="115">
        <v>6.5</v>
      </c>
      <c r="I2" s="115">
        <v>6.5</v>
      </c>
      <c r="J2" s="115">
        <v>5.5</v>
      </c>
      <c r="K2" s="115">
        <v>6</v>
      </c>
      <c r="L2" s="115">
        <v>6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11.1</v>
      </c>
      <c r="O2" s="45">
        <f>IF(N2="","",N2)</f>
        <v>11.1</v>
      </c>
      <c r="R2" s="53">
        <f>O4+0.000001</f>
        <v>49.650001000000003</v>
      </c>
      <c r="S2" s="53" t="str">
        <f>B2</f>
        <v>Jackson Graham</v>
      </c>
      <c r="T2" s="53" t="str">
        <f>C2</f>
        <v>Cedar</v>
      </c>
    </row>
    <row r="3" spans="1:20" x14ac:dyDescent="0.25">
      <c r="A3" s="97"/>
      <c r="B3" s="109"/>
      <c r="C3" s="111"/>
      <c r="D3" s="46">
        <v>2</v>
      </c>
      <c r="E3" s="113" t="s">
        <v>64</v>
      </c>
      <c r="F3" s="45" t="str">
        <f>IF($E3="","",IF(ISNA(VLOOKUP($E3,DD!$A$2:$C$150,2,0)),"NO SUCH DIVE",VLOOKUP($E3,DD!$A$2:$C$150,2,0)))</f>
        <v>Back dive ½ twist layout</v>
      </c>
      <c r="G3" s="51">
        <f>IF($E3="","",IF(ISNA(VLOOKUP($E3,DD!$A$2:$C$150,3,0)),"",VLOOKUP($E3,DD!$A$2:$C$150,3,0)))</f>
        <v>1.4</v>
      </c>
      <c r="H3" s="115">
        <v>5</v>
      </c>
      <c r="I3" s="115">
        <v>5</v>
      </c>
      <c r="J3" s="115">
        <v>5</v>
      </c>
      <c r="K3" s="115">
        <v>5</v>
      </c>
      <c r="L3" s="115">
        <v>5.5</v>
      </c>
      <c r="M3" s="50"/>
      <c r="N3" s="45">
        <f t="shared" si="0"/>
        <v>21</v>
      </c>
      <c r="O3" s="45">
        <f>IF(N3="","",N3+O2)</f>
        <v>32.1</v>
      </c>
      <c r="R3" s="53">
        <f>O7+0.000002</f>
        <v>1.9999999999999999E-6</v>
      </c>
      <c r="S3" s="53">
        <f>B5</f>
        <v>0</v>
      </c>
      <c r="T3" s="53">
        <f>C5</f>
        <v>0</v>
      </c>
    </row>
    <row r="4" spans="1:20" x14ac:dyDescent="0.25">
      <c r="A4" s="97"/>
      <c r="B4" s="109"/>
      <c r="C4" s="111"/>
      <c r="D4" s="46">
        <v>3</v>
      </c>
      <c r="E4" s="113" t="s">
        <v>54</v>
      </c>
      <c r="F4" s="45" t="str">
        <f>IF($E4="","",IF(ISNA(VLOOKUP($E4,DD!$A$2:$C$150,2,0)),"NO SUCH DIVE",VLOOKUP($E4,DD!$A$2:$C$150,2,0)))</f>
        <v>Front dive layout</v>
      </c>
      <c r="G4" s="46">
        <f>IF($E4="","",IF(ISNA(VLOOKUP($E4,DD!$A$2:$C$150,3,0)),"",VLOOKUP($E4,DD!$A$2:$C$150,3,0)))</f>
        <v>1.3</v>
      </c>
      <c r="H4" s="115">
        <v>4.5</v>
      </c>
      <c r="I4" s="115">
        <v>4.5</v>
      </c>
      <c r="J4" s="115">
        <v>4.5</v>
      </c>
      <c r="K4" s="115">
        <v>4.5</v>
      </c>
      <c r="L4" s="115">
        <v>4.5</v>
      </c>
      <c r="M4" s="50"/>
      <c r="N4" s="45">
        <f t="shared" si="0"/>
        <v>17.55</v>
      </c>
      <c r="O4" s="54">
        <f>IF(N4="",0,N4+O3)</f>
        <v>49.650000000000006</v>
      </c>
      <c r="R4" s="53">
        <f>O10+0.000003</f>
        <v>3.0000000000000001E-6</v>
      </c>
      <c r="S4" s="53">
        <f>B8</f>
        <v>0</v>
      </c>
      <c r="T4" s="53">
        <f>C8</f>
        <v>0</v>
      </c>
    </row>
    <row r="5" spans="1:20" x14ac:dyDescent="0.25">
      <c r="A5" s="103">
        <v>2</v>
      </c>
      <c r="B5" s="110"/>
      <c r="C5" s="112"/>
      <c r="D5" s="80">
        <v>1</v>
      </c>
      <c r="E5" s="114"/>
      <c r="F5" s="82" t="str">
        <f>IF($E5="","",IF(ISNA(VLOOKUP($E5,DD!$A$2:$C$150,2,0)),"NO SUCH DIVE",VLOOKUP($E5,DD!$A$2:$C$150,2,0)))</f>
        <v/>
      </c>
      <c r="G5" s="83" t="str">
        <f>IF($E5="","",IF(ISNA(VLOOKUP($E5,DD!$A$2:$C$150,3,0)),"",VLOOKUP($E5,DD!$A$2:$C$150,3,0)))</f>
        <v/>
      </c>
      <c r="H5" s="116"/>
      <c r="I5" s="116"/>
      <c r="J5" s="116"/>
      <c r="K5" s="116"/>
      <c r="L5" s="116"/>
      <c r="M5" s="81"/>
      <c r="N5" s="82" t="str">
        <f t="shared" si="0"/>
        <v/>
      </c>
      <c r="O5" s="82" t="str">
        <f>IF(N5="","",N5)</f>
        <v/>
      </c>
      <c r="R5" s="53">
        <f>O13+0.000004</f>
        <v>3.9999999999999998E-6</v>
      </c>
      <c r="S5" s="53">
        <f>B11</f>
        <v>0</v>
      </c>
      <c r="T5" s="53">
        <f>C11</f>
        <v>0</v>
      </c>
    </row>
    <row r="6" spans="1:20" x14ac:dyDescent="0.25">
      <c r="A6" s="103"/>
      <c r="B6" s="110"/>
      <c r="C6" s="112"/>
      <c r="D6" s="80">
        <v>2</v>
      </c>
      <c r="E6" s="114"/>
      <c r="F6" s="82" t="str">
        <f>IF($E6="","",IF(ISNA(VLOOKUP($E6,DD!$A$2:$C$150,2,0)),"NO SUCH DIVE",VLOOKUP($E6,DD!$A$2:$C$150,2,0)))</f>
        <v/>
      </c>
      <c r="G6" s="83" t="str">
        <f>IF($E6="","",IF(ISNA(VLOOKUP($E6,DD!$A$2:$C$150,3,0)),"",VLOOKUP($E6,DD!$A$2:$C$150,3,0)))</f>
        <v/>
      </c>
      <c r="H6" s="116"/>
      <c r="I6" s="116"/>
      <c r="J6" s="116"/>
      <c r="K6" s="116"/>
      <c r="L6" s="116"/>
      <c r="M6" s="81"/>
      <c r="N6" s="82" t="str">
        <f t="shared" si="0"/>
        <v/>
      </c>
      <c r="O6" s="82" t="str">
        <f>IF(N6="","",N6+O5)</f>
        <v/>
      </c>
      <c r="R6" s="53">
        <f>O16+0.000005</f>
        <v>50.950005000000004</v>
      </c>
      <c r="S6" s="53" t="str">
        <f>B14</f>
        <v>Dane Brodeur</v>
      </c>
      <c r="T6" s="53" t="str">
        <f>C14</f>
        <v>Val</v>
      </c>
    </row>
    <row r="7" spans="1:20" x14ac:dyDescent="0.25">
      <c r="A7" s="103"/>
      <c r="B7" s="110"/>
      <c r="C7" s="112"/>
      <c r="D7" s="80">
        <v>3</v>
      </c>
      <c r="E7" s="114"/>
      <c r="F7" s="82" t="str">
        <f>IF($E7="","",IF(ISNA(VLOOKUP($E7,DD!$A$2:$C$150,2,0)),"NO SUCH DIVE",VLOOKUP($E7,DD!$A$2:$C$150,2,0)))</f>
        <v/>
      </c>
      <c r="G7" s="80" t="str">
        <f>IF($E7="","",IF(ISNA(VLOOKUP($E7,DD!$A$2:$C$150,3,0)),"",VLOOKUP($E7,DD!$A$2:$C$150,3,0)))</f>
        <v/>
      </c>
      <c r="H7" s="116"/>
      <c r="I7" s="116"/>
      <c r="J7" s="116"/>
      <c r="K7" s="116"/>
      <c r="L7" s="116"/>
      <c r="M7" s="81"/>
      <c r="N7" s="82" t="str">
        <f t="shared" si="0"/>
        <v/>
      </c>
      <c r="O7" s="85">
        <f>IF(N7="",0,N7+O6)</f>
        <v>0</v>
      </c>
      <c r="R7" s="53">
        <f>O19+0.000006</f>
        <v>6.0000000000000002E-6</v>
      </c>
      <c r="S7" s="53">
        <f>B17</f>
        <v>0</v>
      </c>
      <c r="T7" s="53">
        <f>C17</f>
        <v>0</v>
      </c>
    </row>
    <row r="8" spans="1:20" x14ac:dyDescent="0.25">
      <c r="A8" s="97">
        <v>3</v>
      </c>
      <c r="B8" s="109"/>
      <c r="C8" s="111"/>
      <c r="D8" s="46">
        <v>1</v>
      </c>
      <c r="E8" s="113"/>
      <c r="F8" s="45" t="str">
        <f>IF($E8="","",IF(ISNA(VLOOKUP($E8,DD!$A$2:$C$150,2,0)),"NO SUCH DIVE",VLOOKUP($E8,DD!$A$2:$C$150,2,0)))</f>
        <v/>
      </c>
      <c r="G8" s="51" t="str">
        <f>IF($E8="","",IF(ISNA(VLOOKUP($E8,DD!$A$2:$C$150,3,0)),"",VLOOKUP($E8,DD!$A$2:$C$150,3,0)))</f>
        <v/>
      </c>
      <c r="H8" s="115"/>
      <c r="I8" s="115"/>
      <c r="J8" s="115"/>
      <c r="K8" s="115"/>
      <c r="L8" s="115"/>
      <c r="M8" s="50"/>
      <c r="N8" s="45" t="str">
        <f t="shared" si="0"/>
        <v/>
      </c>
      <c r="O8" s="45" t="str">
        <f>IF(N8="","",N8)</f>
        <v/>
      </c>
      <c r="R8" s="53">
        <f>O22+0.000007</f>
        <v>48.650006999999995</v>
      </c>
      <c r="S8" s="53" t="str">
        <f>B20</f>
        <v>Sebastien Sevigny</v>
      </c>
      <c r="T8" s="53" t="str">
        <f>C20</f>
        <v>Beau</v>
      </c>
    </row>
    <row r="9" spans="1:20" x14ac:dyDescent="0.25">
      <c r="A9" s="97"/>
      <c r="B9" s="109"/>
      <c r="C9" s="111"/>
      <c r="D9" s="46">
        <v>2</v>
      </c>
      <c r="E9" s="113"/>
      <c r="F9" s="45" t="str">
        <f>IF($E9="","",IF(ISNA(VLOOKUP($E9,DD!$A$2:$C$150,2,0)),"NO SUCH DIVE",VLOOKUP($E9,DD!$A$2:$C$150,2,0)))</f>
        <v/>
      </c>
      <c r="G9" s="51" t="str">
        <f>IF($E9="","",IF(ISNA(VLOOKUP($E9,DD!$A$2:$C$150,3,0)),"",VLOOKUP($E9,DD!$A$2:$C$150,3,0)))</f>
        <v/>
      </c>
      <c r="H9" s="115"/>
      <c r="I9" s="115"/>
      <c r="J9" s="115"/>
      <c r="K9" s="115"/>
      <c r="L9" s="115"/>
      <c r="M9" s="50"/>
      <c r="N9" s="45" t="str">
        <f t="shared" si="0"/>
        <v/>
      </c>
      <c r="O9" s="45" t="str">
        <f>IF(N9="","",N9+O8)</f>
        <v/>
      </c>
      <c r="R9" s="53">
        <f>O25+0.000008</f>
        <v>55.800007999999998</v>
      </c>
      <c r="S9" s="53" t="str">
        <f>B23</f>
        <v>Darcy Geffroy</v>
      </c>
      <c r="T9" s="53" t="str">
        <f>C23</f>
        <v>Val</v>
      </c>
    </row>
    <row r="10" spans="1:20" x14ac:dyDescent="0.25">
      <c r="A10" s="97"/>
      <c r="B10" s="109"/>
      <c r="C10" s="111"/>
      <c r="D10" s="46">
        <v>3</v>
      </c>
      <c r="E10" s="113"/>
      <c r="F10" s="45" t="str">
        <f>IF($E10="","",IF(ISNA(VLOOKUP($E10,DD!$A$2:$C$150,2,0)),"NO SUCH DIVE",VLOOKUP($E10,DD!$A$2:$C$150,2,0)))</f>
        <v/>
      </c>
      <c r="G10" s="46" t="str">
        <f>IF($E10="","",IF(ISNA(VLOOKUP($E10,DD!$A$2:$C$150,3,0)),"",VLOOKUP($E10,DD!$A$2:$C$150,3,0)))</f>
        <v/>
      </c>
      <c r="H10" s="115"/>
      <c r="I10" s="115"/>
      <c r="J10" s="115"/>
      <c r="K10" s="115"/>
      <c r="L10" s="115"/>
      <c r="M10" s="50"/>
      <c r="N10" s="45" t="str">
        <f t="shared" si="0"/>
        <v/>
      </c>
      <c r="O10" s="54">
        <f>IF(N10="",0,N10+O9)</f>
        <v>0</v>
      </c>
      <c r="R10" s="53">
        <f>O28+0.000009</f>
        <v>9.0000000000000002E-6</v>
      </c>
      <c r="S10" s="53">
        <f>B26</f>
        <v>0</v>
      </c>
      <c r="T10" s="53">
        <f>C26</f>
        <v>0</v>
      </c>
    </row>
    <row r="11" spans="1:20" x14ac:dyDescent="0.25">
      <c r="A11" s="103">
        <v>4</v>
      </c>
      <c r="B11" s="110"/>
      <c r="C11" s="112"/>
      <c r="D11" s="80">
        <v>1</v>
      </c>
      <c r="E11" s="114"/>
      <c r="F11" s="82" t="str">
        <f>IF($E11="","",IF(ISNA(VLOOKUP($E11,DD!$A$2:$C$150,2,0)),"NO SUCH DIVE",VLOOKUP($E11,DD!$A$2:$C$150,2,0)))</f>
        <v/>
      </c>
      <c r="G11" s="83" t="str">
        <f>IF($E11="","",IF(ISNA(VLOOKUP($E11,DD!$A$2:$C$150,3,0)),"",VLOOKUP($E11,DD!$A$2:$C$150,3,0)))</f>
        <v/>
      </c>
      <c r="H11" s="116"/>
      <c r="I11" s="116"/>
      <c r="J11" s="116"/>
      <c r="K11" s="116"/>
      <c r="L11" s="116"/>
      <c r="M11" s="81"/>
      <c r="N11" s="82" t="str">
        <f t="shared" si="0"/>
        <v/>
      </c>
      <c r="O11" s="82" t="str">
        <f>IF(N11="","",N11)</f>
        <v/>
      </c>
      <c r="R11" s="53">
        <f>O31+0.00001</f>
        <v>1.0000000000000001E-5</v>
      </c>
      <c r="S11" s="53">
        <f>B29</f>
        <v>0</v>
      </c>
      <c r="T11" s="53">
        <f>C29</f>
        <v>0</v>
      </c>
    </row>
    <row r="12" spans="1:20" x14ac:dyDescent="0.25">
      <c r="A12" s="103"/>
      <c r="B12" s="110"/>
      <c r="C12" s="112"/>
      <c r="D12" s="80">
        <v>2</v>
      </c>
      <c r="E12" s="114"/>
      <c r="F12" s="82" t="str">
        <f>IF($E12="","",IF(ISNA(VLOOKUP($E12,DD!$A$2:$C$150,2,0)),"NO SUCH DIVE",VLOOKUP($E12,DD!$A$2:$C$150,2,0)))</f>
        <v/>
      </c>
      <c r="G12" s="83" t="str">
        <f>IF($E12="","",IF(ISNA(VLOOKUP($E12,DD!$A$2:$C$150,3,0)),"",VLOOKUP($E12,DD!$A$2:$C$150,3,0)))</f>
        <v/>
      </c>
      <c r="H12" s="116"/>
      <c r="I12" s="116"/>
      <c r="J12" s="116"/>
      <c r="K12" s="116"/>
      <c r="L12" s="116"/>
      <c r="M12" s="81"/>
      <c r="N12" s="82" t="str">
        <f t="shared" si="0"/>
        <v/>
      </c>
      <c r="O12" s="82" t="str">
        <f>IF(N12="","",N12+O11)</f>
        <v/>
      </c>
      <c r="R12" s="53">
        <f>O34+0.000011</f>
        <v>1.1E-5</v>
      </c>
      <c r="S12" s="53">
        <f>B32</f>
        <v>0</v>
      </c>
      <c r="T12" s="53">
        <f>C32</f>
        <v>0</v>
      </c>
    </row>
    <row r="13" spans="1:20" x14ac:dyDescent="0.25">
      <c r="A13" s="103"/>
      <c r="B13" s="110"/>
      <c r="C13" s="112"/>
      <c r="D13" s="80">
        <v>3</v>
      </c>
      <c r="E13" s="114"/>
      <c r="F13" s="82" t="str">
        <f>IF($E13="","",IF(ISNA(VLOOKUP($E13,DD!$A$2:$C$150,2,0)),"NO SUCH DIVE",VLOOKUP($E13,DD!$A$2:$C$150,2,0)))</f>
        <v/>
      </c>
      <c r="G13" s="80" t="str">
        <f>IF($E13="","",IF(ISNA(VLOOKUP($E13,DD!$A$2:$C$150,3,0)),"",VLOOKUP($E13,DD!$A$2:$C$150,3,0)))</f>
        <v/>
      </c>
      <c r="H13" s="116"/>
      <c r="I13" s="116"/>
      <c r="J13" s="116"/>
      <c r="K13" s="116"/>
      <c r="L13" s="116"/>
      <c r="M13" s="81"/>
      <c r="N13" s="82" t="str">
        <f t="shared" si="0"/>
        <v/>
      </c>
      <c r="O13" s="85">
        <f>IF(N13="",0,N13+O12)</f>
        <v>0</v>
      </c>
      <c r="R13" s="53">
        <f>O37+0.000012</f>
        <v>1.2E-5</v>
      </c>
      <c r="S13" s="53">
        <f>B35</f>
        <v>0</v>
      </c>
      <c r="T13" s="53">
        <f>C35</f>
        <v>0</v>
      </c>
    </row>
    <row r="14" spans="1:20" x14ac:dyDescent="0.25">
      <c r="A14" s="97">
        <v>5</v>
      </c>
      <c r="B14" s="109" t="s">
        <v>385</v>
      </c>
      <c r="C14" s="111" t="s">
        <v>52</v>
      </c>
      <c r="D14" s="46">
        <v>1</v>
      </c>
      <c r="E14" s="113" t="s">
        <v>89</v>
      </c>
      <c r="F14" s="45" t="str">
        <f>IF($E14="","",IF(ISNA(VLOOKUP($E14,DD!$A$2:$C$150,2,0)),"NO SUCH DIVE",VLOOKUP($E14,DD!$A$2:$C$150,2,0)))</f>
        <v>Front dive tuck</v>
      </c>
      <c r="G14" s="51">
        <f>IF($E14="","",IF(ISNA(VLOOKUP($E14,DD!$A$2:$C$150,3,0)),"",VLOOKUP($E14,DD!$A$2:$C$150,3,0)))</f>
        <v>1.3</v>
      </c>
      <c r="H14" s="115">
        <v>4.5</v>
      </c>
      <c r="I14" s="115">
        <v>5</v>
      </c>
      <c r="J14" s="115">
        <v>5</v>
      </c>
      <c r="K14" s="115">
        <v>5.5</v>
      </c>
      <c r="L14" s="115">
        <v>5.5</v>
      </c>
      <c r="M14" s="50"/>
      <c r="N14" s="45">
        <f t="shared" si="0"/>
        <v>20.150000000000002</v>
      </c>
      <c r="O14" s="45">
        <f>IF(N14="","",N14)</f>
        <v>20.150000000000002</v>
      </c>
      <c r="R14" s="53">
        <f>O40+0.000013</f>
        <v>1.2999999999999999E-5</v>
      </c>
      <c r="S14" s="53">
        <f>B38</f>
        <v>0</v>
      </c>
      <c r="T14" s="53">
        <f>C38</f>
        <v>0</v>
      </c>
    </row>
    <row r="15" spans="1:20" x14ac:dyDescent="0.25">
      <c r="A15" s="97"/>
      <c r="B15" s="109"/>
      <c r="C15" s="111"/>
      <c r="D15" s="46">
        <v>2</v>
      </c>
      <c r="E15" s="113" t="s">
        <v>64</v>
      </c>
      <c r="F15" s="45" t="str">
        <f>IF($E15="","",IF(ISNA(VLOOKUP($E15,DD!$A$2:$C$150,2,0)),"NO SUCH DIVE",VLOOKUP($E15,DD!$A$2:$C$150,2,0)))</f>
        <v>Back dive ½ twist layout</v>
      </c>
      <c r="G15" s="51">
        <f>IF($E15="","",IF(ISNA(VLOOKUP($E15,DD!$A$2:$C$150,3,0)),"",VLOOKUP($E15,DD!$A$2:$C$150,3,0)))</f>
        <v>1.4</v>
      </c>
      <c r="H15" s="115">
        <v>4.5</v>
      </c>
      <c r="I15" s="115">
        <v>4.5</v>
      </c>
      <c r="J15" s="115">
        <v>5</v>
      </c>
      <c r="K15" s="115">
        <v>5</v>
      </c>
      <c r="L15" s="115">
        <v>5</v>
      </c>
      <c r="M15" s="50"/>
      <c r="N15" s="45">
        <f t="shared" si="0"/>
        <v>20.299999999999997</v>
      </c>
      <c r="O15" s="45">
        <f>IF(N15="","",N15+O14)</f>
        <v>40.450000000000003</v>
      </c>
      <c r="R15" s="53">
        <f>O43+0.000014</f>
        <v>1.4E-5</v>
      </c>
      <c r="S15" s="53">
        <f>B41</f>
        <v>0</v>
      </c>
      <c r="T15" s="53">
        <f>C41</f>
        <v>0</v>
      </c>
    </row>
    <row r="16" spans="1:20" x14ac:dyDescent="0.25">
      <c r="A16" s="97"/>
      <c r="B16" s="109"/>
      <c r="C16" s="111"/>
      <c r="D16" s="46">
        <v>3</v>
      </c>
      <c r="E16" s="113" t="s">
        <v>53</v>
      </c>
      <c r="F16" s="45" t="str">
        <f>IF($E16="","",IF(ISNA(VLOOKUP($E16,DD!$A$2:$C$150,2,0)),"NO SUCH DIVE",VLOOKUP($E16,DD!$A$2:$C$150,2,0)))</f>
        <v>Front jump pike</v>
      </c>
      <c r="G16" s="46">
        <f>IF($E16="","",IF(ISNA(VLOOKUP($E16,DD!$A$2:$C$150,3,0)),"",VLOOKUP($E16,DD!$A$2:$C$150,3,0)))</f>
        <v>0.6</v>
      </c>
      <c r="H16" s="115">
        <v>6.5</v>
      </c>
      <c r="I16" s="115">
        <v>5.5</v>
      </c>
      <c r="J16" s="115">
        <v>5.5</v>
      </c>
      <c r="K16" s="115">
        <v>5.5</v>
      </c>
      <c r="L16" s="115">
        <v>6.5</v>
      </c>
      <c r="M16" s="50"/>
      <c r="N16" s="45">
        <f t="shared" si="0"/>
        <v>10.5</v>
      </c>
      <c r="O16" s="54">
        <f>IF(N16="",0,N16+O15)</f>
        <v>50.95</v>
      </c>
      <c r="R16" s="53">
        <f>O46+0.000015</f>
        <v>1.5E-5</v>
      </c>
      <c r="S16" s="53">
        <f>B44</f>
        <v>0</v>
      </c>
      <c r="T16" s="53">
        <f>C44</f>
        <v>0</v>
      </c>
    </row>
    <row r="17" spans="1:20" x14ac:dyDescent="0.25">
      <c r="A17" s="103">
        <v>6</v>
      </c>
      <c r="B17" s="110"/>
      <c r="C17" s="112"/>
      <c r="D17" s="80">
        <v>1</v>
      </c>
      <c r="E17" s="114"/>
      <c r="F17" s="82" t="str">
        <f>IF($E17="","",IF(ISNA(VLOOKUP($E17,DD!$A$2:$C$150,2,0)),"NO SUCH DIVE",VLOOKUP($E17,DD!$A$2:$C$150,2,0)))</f>
        <v/>
      </c>
      <c r="G17" s="83" t="str">
        <f>IF($E17="","",IF(ISNA(VLOOKUP($E17,DD!$A$2:$C$150,3,0)),"",VLOOKUP($E17,DD!$A$2:$C$150,3,0)))</f>
        <v/>
      </c>
      <c r="H17" s="116"/>
      <c r="I17" s="116"/>
      <c r="J17" s="116"/>
      <c r="K17" s="116"/>
      <c r="L17" s="116"/>
      <c r="M17" s="81"/>
      <c r="N17" s="82" t="str">
        <f t="shared" si="0"/>
        <v/>
      </c>
      <c r="O17" s="82" t="str">
        <f>IF(N17="","",N17)</f>
        <v/>
      </c>
      <c r="R17" s="53">
        <f>O49+0.000016</f>
        <v>1.5999999999999999E-5</v>
      </c>
      <c r="S17" s="53">
        <f>B47</f>
        <v>0</v>
      </c>
      <c r="T17" s="53">
        <f>C47</f>
        <v>0</v>
      </c>
    </row>
    <row r="18" spans="1:20" x14ac:dyDescent="0.25">
      <c r="A18" s="103"/>
      <c r="B18" s="110"/>
      <c r="C18" s="112"/>
      <c r="D18" s="80">
        <v>2</v>
      </c>
      <c r="E18" s="114"/>
      <c r="F18" s="82" t="str">
        <f>IF($E18="","",IF(ISNA(VLOOKUP($E18,DD!$A$2:$C$150,2,0)),"NO SUCH DIVE",VLOOKUP($E18,DD!$A$2:$C$150,2,0)))</f>
        <v/>
      </c>
      <c r="G18" s="83" t="str">
        <f>IF($E18="","",IF(ISNA(VLOOKUP($E18,DD!$A$2:$C$150,3,0)),"",VLOOKUP($E18,DD!$A$2:$C$150,3,0)))</f>
        <v/>
      </c>
      <c r="H18" s="116"/>
      <c r="I18" s="116"/>
      <c r="J18" s="116"/>
      <c r="K18" s="116"/>
      <c r="L18" s="116"/>
      <c r="M18" s="81"/>
      <c r="N18" s="82" t="str">
        <f t="shared" si="0"/>
        <v/>
      </c>
      <c r="O18" s="82" t="str">
        <f>IF(N18="","",N18+O17)</f>
        <v/>
      </c>
      <c r="R18" s="53">
        <f>O52+0.000017</f>
        <v>1.7E-5</v>
      </c>
      <c r="S18" s="53">
        <f>B50</f>
        <v>0</v>
      </c>
      <c r="T18" s="53">
        <f>C50</f>
        <v>0</v>
      </c>
    </row>
    <row r="19" spans="1:20" x14ac:dyDescent="0.25">
      <c r="A19" s="103"/>
      <c r="B19" s="110"/>
      <c r="C19" s="112"/>
      <c r="D19" s="80">
        <v>3</v>
      </c>
      <c r="E19" s="114"/>
      <c r="F19" s="82" t="str">
        <f>IF($E19="","",IF(ISNA(VLOOKUP($E19,DD!$A$2:$C$150,2,0)),"NO SUCH DIVE",VLOOKUP($E19,DD!$A$2:$C$150,2,0)))</f>
        <v/>
      </c>
      <c r="G19" s="80" t="str">
        <f>IF($E19="","",IF(ISNA(VLOOKUP($E19,DD!$A$2:$C$150,3,0)),"",VLOOKUP($E19,DD!$A$2:$C$150,3,0)))</f>
        <v/>
      </c>
      <c r="H19" s="116"/>
      <c r="I19" s="116"/>
      <c r="J19" s="116"/>
      <c r="K19" s="116"/>
      <c r="L19" s="116"/>
      <c r="M19" s="81"/>
      <c r="N19" s="82" t="str">
        <f t="shared" si="0"/>
        <v/>
      </c>
      <c r="O19" s="85">
        <f>IF(N19="",0,N19+O18)</f>
        <v>0</v>
      </c>
      <c r="R19" s="53">
        <f>O55+0.000018</f>
        <v>1.8E-5</v>
      </c>
      <c r="S19" s="53">
        <f>B53</f>
        <v>0</v>
      </c>
      <c r="T19" s="53">
        <f>C53</f>
        <v>0</v>
      </c>
    </row>
    <row r="20" spans="1:20" x14ac:dyDescent="0.25">
      <c r="A20" s="97">
        <v>7</v>
      </c>
      <c r="B20" s="109" t="s">
        <v>386</v>
      </c>
      <c r="C20" s="111" t="s">
        <v>388</v>
      </c>
      <c r="D20" s="46">
        <v>1</v>
      </c>
      <c r="E20" s="113" t="s">
        <v>50</v>
      </c>
      <c r="F20" s="45" t="str">
        <f>IF($E20="","",IF(ISNA(VLOOKUP($E20,DD!$A$2:$C$150,2,0)),"NO SUCH DIVE",VLOOKUP($E20,DD!$A$2:$C$150,2,0)))</f>
        <v>Back jump layout</v>
      </c>
      <c r="G20" s="51">
        <f>IF($E20="","",IF(ISNA(VLOOKUP($E20,DD!$A$2:$C$150,3,0)),"",VLOOKUP($E20,DD!$A$2:$C$150,3,0)))</f>
        <v>0.5</v>
      </c>
      <c r="H20" s="115">
        <v>6</v>
      </c>
      <c r="I20" s="115">
        <v>5.5</v>
      </c>
      <c r="J20" s="115">
        <v>5.5</v>
      </c>
      <c r="K20" s="115">
        <v>5.5</v>
      </c>
      <c r="L20" s="115">
        <v>5</v>
      </c>
      <c r="M20" s="50"/>
      <c r="N20" s="45">
        <f t="shared" si="0"/>
        <v>8.25</v>
      </c>
      <c r="O20" s="45">
        <f>IF(N20="","",N20)</f>
        <v>8.25</v>
      </c>
      <c r="R20" s="53">
        <f>O58+0.000019</f>
        <v>1.9000000000000001E-5</v>
      </c>
      <c r="S20" s="53">
        <f>B56</f>
        <v>0</v>
      </c>
      <c r="T20" s="53">
        <f>C56</f>
        <v>0</v>
      </c>
    </row>
    <row r="21" spans="1:20" x14ac:dyDescent="0.25">
      <c r="A21" s="97"/>
      <c r="B21" s="109"/>
      <c r="C21" s="111"/>
      <c r="D21" s="46">
        <v>2</v>
      </c>
      <c r="E21" s="113" t="s">
        <v>54</v>
      </c>
      <c r="F21" s="45" t="str">
        <f>IF($E21="","",IF(ISNA(VLOOKUP($E21,DD!$A$2:$C$150,2,0)),"NO SUCH DIVE",VLOOKUP($E21,DD!$A$2:$C$150,2,0)))</f>
        <v>Front dive layout</v>
      </c>
      <c r="G21" s="51">
        <f>IF($E21="","",IF(ISNA(VLOOKUP($E21,DD!$A$2:$C$150,3,0)),"",VLOOKUP($E21,DD!$A$2:$C$150,3,0)))</f>
        <v>1.3</v>
      </c>
      <c r="H21" s="115">
        <v>4.5</v>
      </c>
      <c r="I21" s="115">
        <v>5</v>
      </c>
      <c r="J21" s="115">
        <v>5.5</v>
      </c>
      <c r="K21" s="115">
        <v>5.5</v>
      </c>
      <c r="L21" s="115">
        <v>5.5</v>
      </c>
      <c r="M21" s="50"/>
      <c r="N21" s="45">
        <f t="shared" si="0"/>
        <v>20.8</v>
      </c>
      <c r="O21" s="45">
        <f>IF(N21="","",N21+O20)</f>
        <v>29.05</v>
      </c>
      <c r="R21" s="53">
        <f>O61+0.00002</f>
        <v>2.0000000000000002E-5</v>
      </c>
      <c r="S21" s="53">
        <f>B59</f>
        <v>0</v>
      </c>
      <c r="T21" s="53">
        <f>C59</f>
        <v>0</v>
      </c>
    </row>
    <row r="22" spans="1:20" x14ac:dyDescent="0.25">
      <c r="A22" s="97"/>
      <c r="B22" s="109"/>
      <c r="C22" s="111"/>
      <c r="D22" s="46">
        <v>3</v>
      </c>
      <c r="E22" s="113" t="s">
        <v>64</v>
      </c>
      <c r="F22" s="45" t="str">
        <f>IF($E22="","",IF(ISNA(VLOOKUP($E22,DD!$A$2:$C$150,2,0)),"NO SUCH DIVE",VLOOKUP($E22,DD!$A$2:$C$150,2,0)))</f>
        <v>Back dive ½ twist layout</v>
      </c>
      <c r="G22" s="46">
        <f>IF($E22="","",IF(ISNA(VLOOKUP($E22,DD!$A$2:$C$150,3,0)),"",VLOOKUP($E22,DD!$A$2:$C$150,3,0)))</f>
        <v>1.4</v>
      </c>
      <c r="H22" s="115">
        <v>4.5</v>
      </c>
      <c r="I22" s="115">
        <v>4.5</v>
      </c>
      <c r="J22" s="115">
        <v>4.5</v>
      </c>
      <c r="K22" s="115">
        <v>5.5</v>
      </c>
      <c r="L22" s="115">
        <v>5</v>
      </c>
      <c r="M22" s="50"/>
      <c r="N22" s="45">
        <f t="shared" si="0"/>
        <v>19.599999999999998</v>
      </c>
      <c r="O22" s="54">
        <f>IF(N22="",0,N22+O21)</f>
        <v>48.65</v>
      </c>
      <c r="R22" s="53">
        <f>O64+0.000021</f>
        <v>2.0999999999999999E-5</v>
      </c>
      <c r="S22" s="53">
        <f>B62</f>
        <v>0</v>
      </c>
      <c r="T22" s="53">
        <f>C62</f>
        <v>0</v>
      </c>
    </row>
    <row r="23" spans="1:20" x14ac:dyDescent="0.25">
      <c r="A23" s="103">
        <v>8</v>
      </c>
      <c r="B23" s="110" t="s">
        <v>387</v>
      </c>
      <c r="C23" s="112" t="s">
        <v>52</v>
      </c>
      <c r="D23" s="80">
        <v>1</v>
      </c>
      <c r="E23" s="114" t="s">
        <v>54</v>
      </c>
      <c r="F23" s="82" t="str">
        <f>IF($E23="","",IF(ISNA(VLOOKUP($E23,DD!$A$2:$C$150,2,0)),"NO SUCH DIVE",VLOOKUP($E23,DD!$A$2:$C$150,2,0)))</f>
        <v>Front dive layout</v>
      </c>
      <c r="G23" s="83">
        <f>IF($E23="","",IF(ISNA(VLOOKUP($E23,DD!$A$2:$C$150,3,0)),"",VLOOKUP($E23,DD!$A$2:$C$150,3,0)))</f>
        <v>1.3</v>
      </c>
      <c r="H23" s="116">
        <v>5</v>
      </c>
      <c r="I23" s="116">
        <v>5.5</v>
      </c>
      <c r="J23" s="116">
        <v>5.5</v>
      </c>
      <c r="K23" s="116">
        <v>5.5</v>
      </c>
      <c r="L23" s="116">
        <v>5</v>
      </c>
      <c r="M23" s="81"/>
      <c r="N23" s="82">
        <f t="shared" si="0"/>
        <v>20.8</v>
      </c>
      <c r="O23" s="82">
        <f>IF(N23="","",N23)</f>
        <v>20.8</v>
      </c>
      <c r="R23" s="53">
        <f>O67+0.000022</f>
        <v>2.1999999999999999E-5</v>
      </c>
      <c r="S23" s="53">
        <f>B65</f>
        <v>0</v>
      </c>
      <c r="T23" s="53">
        <f>C65</f>
        <v>0</v>
      </c>
    </row>
    <row r="24" spans="1:20" x14ac:dyDescent="0.25">
      <c r="A24" s="103"/>
      <c r="B24" s="110"/>
      <c r="C24" s="112"/>
      <c r="D24" s="80">
        <v>2</v>
      </c>
      <c r="E24" s="114" t="s">
        <v>64</v>
      </c>
      <c r="F24" s="82" t="str">
        <f>IF($E24="","",IF(ISNA(VLOOKUP($E24,DD!$A$2:$C$150,2,0)),"NO SUCH DIVE",VLOOKUP($E24,DD!$A$2:$C$150,2,0)))</f>
        <v>Back dive ½ twist layout</v>
      </c>
      <c r="G24" s="83">
        <f>IF($E24="","",IF(ISNA(VLOOKUP($E24,DD!$A$2:$C$150,3,0)),"",VLOOKUP($E24,DD!$A$2:$C$150,3,0)))</f>
        <v>1.4</v>
      </c>
      <c r="H24" s="116">
        <v>4</v>
      </c>
      <c r="I24" s="116">
        <v>4.5</v>
      </c>
      <c r="J24" s="116">
        <v>4.5</v>
      </c>
      <c r="K24" s="116">
        <v>4.5</v>
      </c>
      <c r="L24" s="116">
        <v>4</v>
      </c>
      <c r="M24" s="81"/>
      <c r="N24" s="82">
        <f t="shared" si="0"/>
        <v>18.2</v>
      </c>
      <c r="O24" s="82">
        <f>IF(N24="","",N24+O23)</f>
        <v>39</v>
      </c>
      <c r="R24" s="53">
        <f>O70+0.000023</f>
        <v>2.3E-5</v>
      </c>
      <c r="S24" s="53">
        <f>B68</f>
        <v>0</v>
      </c>
      <c r="T24" s="53">
        <f>C68</f>
        <v>0</v>
      </c>
    </row>
    <row r="25" spans="1:20" x14ac:dyDescent="0.25">
      <c r="A25" s="103"/>
      <c r="B25" s="110"/>
      <c r="C25" s="112"/>
      <c r="D25" s="80">
        <v>3</v>
      </c>
      <c r="E25" s="114" t="s">
        <v>72</v>
      </c>
      <c r="F25" s="82" t="str">
        <f>IF($E25="","",IF(ISNA(VLOOKUP($E25,DD!$A$2:$C$150,2,0)),"NO SUCH DIVE",VLOOKUP($E25,DD!$A$2:$C$150,2,0)))</f>
        <v>Front somersault tuck</v>
      </c>
      <c r="G25" s="80">
        <f>IF($E25="","",IF(ISNA(VLOOKUP($E25,DD!$A$2:$C$150,3,0)),"",VLOOKUP($E25,DD!$A$2:$C$150,3,0)))</f>
        <v>1.4</v>
      </c>
      <c r="H25" s="116">
        <v>4</v>
      </c>
      <c r="I25" s="116">
        <v>4</v>
      </c>
      <c r="J25" s="116">
        <v>4</v>
      </c>
      <c r="K25" s="116">
        <v>4</v>
      </c>
      <c r="L25" s="116">
        <v>4</v>
      </c>
      <c r="M25" s="81"/>
      <c r="N25" s="82">
        <f t="shared" si="0"/>
        <v>16.799999999999997</v>
      </c>
      <c r="O25" s="85">
        <f>IF(N25="",0,N25+O24)</f>
        <v>55.8</v>
      </c>
      <c r="R25" s="53">
        <f>O73+0.000024</f>
        <v>2.4000000000000001E-5</v>
      </c>
      <c r="S25" s="53">
        <f>B71</f>
        <v>0</v>
      </c>
      <c r="T25" s="53">
        <f>C71</f>
        <v>0</v>
      </c>
    </row>
    <row r="26" spans="1:20" x14ac:dyDescent="0.25">
      <c r="A26" s="97">
        <v>9</v>
      </c>
      <c r="B26" s="98"/>
      <c r="C26" s="106"/>
      <c r="D26" s="46">
        <v>1</v>
      </c>
      <c r="E26" s="50"/>
      <c r="F26" s="45" t="str">
        <f>IF($E26="","",IF(ISNA(VLOOKUP($E26,DD!$A$2:$C$150,2,0)),"NO SUCH DIVE",VLOOKUP($E26,DD!$A$2:$C$150,2,0)))</f>
        <v/>
      </c>
      <c r="G26" s="51" t="str">
        <f>IF($E26="","",IF(ISNA(VLOOKUP($E26,DD!$A$2:$C$150,3,0)),"",VLOOKUP($E26,DD!$A$2:$C$150,3,0)))</f>
        <v/>
      </c>
      <c r="H26" s="52"/>
      <c r="I26" s="52"/>
      <c r="J26" s="52"/>
      <c r="K26" s="52"/>
      <c r="L26" s="52"/>
      <c r="M26" s="50"/>
      <c r="N26" s="45" t="str">
        <f t="shared" si="0"/>
        <v/>
      </c>
      <c r="O26" s="45" t="str">
        <f>IF(N26="","",N26)</f>
        <v/>
      </c>
      <c r="R26" s="53">
        <v>0</v>
      </c>
    </row>
    <row r="27" spans="1:20" x14ac:dyDescent="0.25">
      <c r="A27" s="97"/>
      <c r="B27" s="98"/>
      <c r="C27" s="106"/>
      <c r="D27" s="46">
        <v>2</v>
      </c>
      <c r="E27" s="50"/>
      <c r="F27" s="45" t="str">
        <f>IF($E27="","",IF(ISNA(VLOOKUP($E27,DD!$A$2:$C$150,2,0)),"NO SUCH DIVE",VLOOKUP($E27,DD!$A$2:$C$150,2,0)))</f>
        <v/>
      </c>
      <c r="G27" s="51" t="str">
        <f>IF($E27="","",IF(ISNA(VLOOKUP($E27,DD!$A$2:$C$150,3,0)),"",VLOOKUP($E27,DD!$A$2:$C$150,3,0)))</f>
        <v/>
      </c>
      <c r="H27" s="52"/>
      <c r="I27" s="52"/>
      <c r="J27" s="52"/>
      <c r="K27" s="52"/>
      <c r="L27" s="52"/>
      <c r="M27" s="50"/>
      <c r="N27" s="45" t="str">
        <f t="shared" si="0"/>
        <v/>
      </c>
      <c r="O27" s="45" t="str">
        <f>IF(N27="","",N27+O26)</f>
        <v/>
      </c>
    </row>
    <row r="28" spans="1:20" x14ac:dyDescent="0.25">
      <c r="A28" s="97"/>
      <c r="B28" s="98"/>
      <c r="C28" s="106"/>
      <c r="D28" s="46">
        <v>3</v>
      </c>
      <c r="E28" s="50"/>
      <c r="F28" s="45" t="str">
        <f>IF($E28="","",IF(ISNA(VLOOKUP($E28,DD!$A$2:$C$150,2,0)),"NO SUCH DIVE",VLOOKUP($E28,DD!$A$2:$C$150,2,0)))</f>
        <v/>
      </c>
      <c r="G28" s="46" t="str">
        <f>IF($E28="","",IF(ISNA(VLOOKUP($E28,DD!$A$2:$C$150,3,0)),"",VLOOKUP($E28,DD!$A$2:$C$150,3,0)))</f>
        <v/>
      </c>
      <c r="H28" s="52"/>
      <c r="I28" s="52"/>
      <c r="J28" s="52"/>
      <c r="K28" s="52"/>
      <c r="L28" s="52"/>
      <c r="M28" s="50"/>
      <c r="N28" s="45" t="str">
        <f t="shared" si="0"/>
        <v/>
      </c>
      <c r="O28" s="54">
        <f>IF(N28="",0,N28+O27)</f>
        <v>0</v>
      </c>
    </row>
    <row r="29" spans="1:20" x14ac:dyDescent="0.25">
      <c r="A29" s="103">
        <v>10</v>
      </c>
      <c r="B29" s="104"/>
      <c r="C29" s="105"/>
      <c r="D29" s="80">
        <v>1</v>
      </c>
      <c r="E29" s="81"/>
      <c r="F29" s="82" t="str">
        <f>IF($E29="","",IF(ISNA(VLOOKUP($E29,DD!$A$2:$C$150,2,0)),"NO SUCH DIVE",VLOOKUP($E29,DD!$A$2:$C$150,2,0)))</f>
        <v/>
      </c>
      <c r="G29" s="83" t="str">
        <f>IF($E29="","",IF(ISNA(VLOOKUP($E29,DD!$A$2:$C$150,3,0)),"",VLOOKUP($E29,DD!$A$2:$C$150,3,0)))</f>
        <v/>
      </c>
      <c r="H29" s="84"/>
      <c r="I29" s="84"/>
      <c r="J29" s="84"/>
      <c r="K29" s="84"/>
      <c r="L29" s="84"/>
      <c r="M29" s="81"/>
      <c r="N29" s="82" t="str">
        <f t="shared" si="0"/>
        <v/>
      </c>
      <c r="O29" s="82" t="str">
        <f>IF(N29="","",N29)</f>
        <v/>
      </c>
    </row>
    <row r="30" spans="1:20" x14ac:dyDescent="0.25">
      <c r="A30" s="103"/>
      <c r="B30" s="104"/>
      <c r="C30" s="105"/>
      <c r="D30" s="80">
        <v>2</v>
      </c>
      <c r="E30" s="86"/>
      <c r="F30" s="82" t="str">
        <f>IF($E30="","",IF(ISNA(VLOOKUP($E30,DD!$A$2:$C$150,2,0)),"NO SUCH DIVE",VLOOKUP($E30,DD!$A$2:$C$150,2,0)))</f>
        <v/>
      </c>
      <c r="G30" s="83" t="str">
        <f>IF($E30="","",IF(ISNA(VLOOKUP($E30,DD!$A$2:$C$150,3,0)),"",VLOOKUP($E30,DD!$A$2:$C$150,3,0)))</f>
        <v/>
      </c>
      <c r="H30" s="84"/>
      <c r="I30" s="84"/>
      <c r="J30" s="84"/>
      <c r="K30" s="84"/>
      <c r="L30" s="84"/>
      <c r="M30" s="81"/>
      <c r="N30" s="82" t="str">
        <f t="shared" si="0"/>
        <v/>
      </c>
      <c r="O30" s="82" t="str">
        <f>IF(N30="","",N30+O29)</f>
        <v/>
      </c>
    </row>
    <row r="31" spans="1:20" x14ac:dyDescent="0.25">
      <c r="A31" s="103"/>
      <c r="B31" s="104"/>
      <c r="C31" s="105"/>
      <c r="D31" s="80">
        <v>3</v>
      </c>
      <c r="E31" s="86"/>
      <c r="F31" s="82" t="str">
        <f>IF($E31="","",IF(ISNA(VLOOKUP($E31,DD!$A$2:$C$150,2,0)),"NO SUCH DIVE",VLOOKUP($E31,DD!$A$2:$C$150,2,0)))</f>
        <v/>
      </c>
      <c r="G31" s="80" t="str">
        <f>IF($E31="","",IF(ISNA(VLOOKUP($E31,DD!$A$2:$C$150,3,0)),"",VLOOKUP($E31,DD!$A$2:$C$150,3,0)))</f>
        <v/>
      </c>
      <c r="H31" s="84"/>
      <c r="I31" s="84"/>
      <c r="J31" s="84"/>
      <c r="K31" s="84"/>
      <c r="L31" s="84"/>
      <c r="M31" s="81"/>
      <c r="N31" s="82" t="str">
        <f t="shared" si="0"/>
        <v/>
      </c>
      <c r="O31" s="85">
        <f>IF(N31="",0,N31+O30)</f>
        <v>0</v>
      </c>
    </row>
    <row r="32" spans="1:20" x14ac:dyDescent="0.25">
      <c r="A32" s="97">
        <v>11</v>
      </c>
      <c r="B32" s="98"/>
      <c r="C32" s="106"/>
      <c r="D32" s="46">
        <v>1</v>
      </c>
      <c r="E32" s="50"/>
      <c r="F32" s="45" t="str">
        <f>IF($E32="","",IF(ISNA(VLOOKUP($E32,DD!$A$2:$C$150,2,0)),"NO SUCH DIVE",VLOOKUP($E32,DD!$A$2:$C$150,2,0)))</f>
        <v/>
      </c>
      <c r="G32" s="51" t="str">
        <f>IF($E32="","",IF(ISNA(VLOOKUP($E32,DD!$A$2:$C$150,3,0)),"",VLOOKUP($E32,DD!$A$2:$C$150,3,0)))</f>
        <v/>
      </c>
      <c r="H32" s="52"/>
      <c r="I32" s="52"/>
      <c r="J32" s="52"/>
      <c r="K32" s="52"/>
      <c r="L32" s="52"/>
      <c r="M32" s="50"/>
      <c r="N32" s="45" t="str">
        <f t="shared" si="0"/>
        <v/>
      </c>
      <c r="O32" s="45" t="str">
        <f>IF(N32="","",N32)</f>
        <v/>
      </c>
    </row>
    <row r="33" spans="1:15" x14ac:dyDescent="0.25">
      <c r="A33" s="97"/>
      <c r="B33" s="98"/>
      <c r="C33" s="106"/>
      <c r="D33" s="46">
        <v>2</v>
      </c>
      <c r="E33" s="50"/>
      <c r="F33" s="45" t="str">
        <f>IF($E33="","",IF(ISNA(VLOOKUP($E33,DD!$A$2:$C$150,2,0)),"NO SUCH DIVE",VLOOKUP($E33,DD!$A$2:$C$150,2,0)))</f>
        <v/>
      </c>
      <c r="G33" s="51" t="str">
        <f>IF($E33="","",IF(ISNA(VLOOKUP($E33,DD!$A$2:$C$150,3,0)),"",VLOOKUP($E33,DD!$A$2:$C$150,3,0)))</f>
        <v/>
      </c>
      <c r="H33" s="52"/>
      <c r="I33" s="52"/>
      <c r="J33" s="52"/>
      <c r="K33" s="52"/>
      <c r="L33" s="52"/>
      <c r="M33" s="50"/>
      <c r="N33" s="45" t="str">
        <f t="shared" si="0"/>
        <v/>
      </c>
      <c r="O33" s="45" t="str">
        <f>IF(N33="","",N33+O32)</f>
        <v/>
      </c>
    </row>
    <row r="34" spans="1:15" x14ac:dyDescent="0.25">
      <c r="A34" s="97"/>
      <c r="B34" s="98"/>
      <c r="C34" s="106"/>
      <c r="D34" s="46">
        <v>3</v>
      </c>
      <c r="E34" s="50"/>
      <c r="F34" s="45" t="str">
        <f>IF($E34="","",IF(ISNA(VLOOKUP($E34,DD!$A$2:$C$150,2,0)),"NO SUCH DIVE",VLOOKUP($E34,DD!$A$2:$C$150,2,0)))</f>
        <v/>
      </c>
      <c r="G34" s="46" t="str">
        <f>IF($E34="","",IF(ISNA(VLOOKUP($E34,DD!$A$2:$C$150,3,0)),"",VLOOKUP($E34,DD!$A$2:$C$150,3,0)))</f>
        <v/>
      </c>
      <c r="H34" s="52"/>
      <c r="I34" s="52"/>
      <c r="J34" s="52"/>
      <c r="K34" s="52"/>
      <c r="L34" s="52"/>
      <c r="M34" s="50"/>
      <c r="N34" s="45" t="str">
        <f t="shared" ref="N34:N65" si="1">IF(G34="","",IF(COUNT(H34:L34)=3,IF(M34&lt;&gt;"",(SUM(H34:J34)-6)*G34,SUM(H34:J34)*G34),IF(M34&lt;&gt;"",(SUM(H34:L34)-MAX(H34:L34)-MIN(H34:L34)-6)*G34,(SUM(H34:L34)-MAX(H34:L34)-MIN(H34:L34))*G34)))</f>
        <v/>
      </c>
      <c r="O34" s="54">
        <f>IF(N34="",0,N34+O33)</f>
        <v>0</v>
      </c>
    </row>
    <row r="35" spans="1:15" x14ac:dyDescent="0.25">
      <c r="A35" s="103">
        <v>12</v>
      </c>
      <c r="B35" s="104"/>
      <c r="C35" s="105"/>
      <c r="D35" s="80">
        <v>1</v>
      </c>
      <c r="E35" s="81"/>
      <c r="F35" s="82" t="str">
        <f>IF($E35="","",IF(ISNA(VLOOKUP($E35,DD!$A$2:$C$150,2,0)),"NO SUCH DIVE",VLOOKUP($E35,DD!$A$2:$C$150,2,0)))</f>
        <v/>
      </c>
      <c r="G35" s="83" t="str">
        <f>IF($E35="","",IF(ISNA(VLOOKUP($E35,DD!$A$2:$C$150,3,0)),"",VLOOKUP($E35,DD!$A$2:$C$150,3,0)))</f>
        <v/>
      </c>
      <c r="H35" s="84"/>
      <c r="I35" s="84"/>
      <c r="J35" s="84"/>
      <c r="K35" s="84"/>
      <c r="L35" s="84"/>
      <c r="M35" s="81"/>
      <c r="N35" s="82" t="str">
        <f t="shared" si="1"/>
        <v/>
      </c>
      <c r="O35" s="82" t="str">
        <f>IF(N35="","",N35)</f>
        <v/>
      </c>
    </row>
    <row r="36" spans="1:15" x14ac:dyDescent="0.25">
      <c r="A36" s="103"/>
      <c r="B36" s="104"/>
      <c r="C36" s="105"/>
      <c r="D36" s="80">
        <v>2</v>
      </c>
      <c r="E36" s="86"/>
      <c r="F36" s="82" t="str">
        <f>IF($E36="","",IF(ISNA(VLOOKUP($E36,DD!$A$2:$C$150,2,0)),"NO SUCH DIVE",VLOOKUP($E36,DD!$A$2:$C$150,2,0)))</f>
        <v/>
      </c>
      <c r="G36" s="83" t="str">
        <f>IF($E36="","",IF(ISNA(VLOOKUP($E36,DD!$A$2:$C$150,3,0)),"",VLOOKUP($E36,DD!$A$2:$C$150,3,0)))</f>
        <v/>
      </c>
      <c r="H36" s="84"/>
      <c r="I36" s="84"/>
      <c r="J36" s="84"/>
      <c r="K36" s="84"/>
      <c r="L36" s="84"/>
      <c r="M36" s="81"/>
      <c r="N36" s="82" t="str">
        <f t="shared" si="1"/>
        <v/>
      </c>
      <c r="O36" s="82" t="str">
        <f>IF(N36="","",N36+O35)</f>
        <v/>
      </c>
    </row>
    <row r="37" spans="1:15" x14ac:dyDescent="0.25">
      <c r="A37" s="103"/>
      <c r="B37" s="104"/>
      <c r="C37" s="105"/>
      <c r="D37" s="80">
        <v>3</v>
      </c>
      <c r="E37" s="86"/>
      <c r="F37" s="82" t="str">
        <f>IF($E37="","",IF(ISNA(VLOOKUP($E37,DD!$A$2:$C$150,2,0)),"NO SUCH DIVE",VLOOKUP($E37,DD!$A$2:$C$150,2,0)))</f>
        <v/>
      </c>
      <c r="G37" s="80" t="str">
        <f>IF($E37="","",IF(ISNA(VLOOKUP($E37,DD!$A$2:$C$150,3,0)),"",VLOOKUP($E37,DD!$A$2:$C$150,3,0)))</f>
        <v/>
      </c>
      <c r="H37" s="84"/>
      <c r="I37" s="84"/>
      <c r="J37" s="84"/>
      <c r="K37" s="84"/>
      <c r="L37" s="84"/>
      <c r="M37" s="81"/>
      <c r="N37" s="82" t="str">
        <f t="shared" si="1"/>
        <v/>
      </c>
      <c r="O37" s="85">
        <f>IF(N37="",0,N37+O36)</f>
        <v>0</v>
      </c>
    </row>
    <row r="38" spans="1:15" x14ac:dyDescent="0.25">
      <c r="A38" s="97">
        <v>13</v>
      </c>
      <c r="B38" s="98"/>
      <c r="C38" s="106"/>
      <c r="D38" s="46">
        <v>1</v>
      </c>
      <c r="E38" s="50"/>
      <c r="F38" s="45" t="str">
        <f>IF($E38="","",IF(ISNA(VLOOKUP($E38,DD!$A$2:$C$150,2,0)),"NO SUCH DIVE",VLOOKUP($E38,DD!$A$2:$C$150,2,0)))</f>
        <v/>
      </c>
      <c r="G38" s="51" t="str">
        <f>IF($E38="","",IF(ISNA(VLOOKUP($E38,DD!$A$2:$C$150,3,0)),"",VLOOKUP($E38,DD!$A$2:$C$150,3,0)))</f>
        <v/>
      </c>
      <c r="H38" s="52"/>
      <c r="I38" s="52"/>
      <c r="J38" s="52"/>
      <c r="K38" s="52"/>
      <c r="L38" s="52"/>
      <c r="M38" s="50"/>
      <c r="N38" s="45" t="str">
        <f t="shared" si="1"/>
        <v/>
      </c>
      <c r="O38" s="45" t="str">
        <f>IF(N38="","",N38)</f>
        <v/>
      </c>
    </row>
    <row r="39" spans="1:15" x14ac:dyDescent="0.25">
      <c r="A39" s="97"/>
      <c r="B39" s="98"/>
      <c r="C39" s="106"/>
      <c r="D39" s="46">
        <v>2</v>
      </c>
      <c r="E39" s="50"/>
      <c r="F39" s="45" t="str">
        <f>IF($E39="","",IF(ISNA(VLOOKUP($E39,DD!$A$2:$C$150,2,0)),"NO SUCH DIVE",VLOOKUP($E39,DD!$A$2:$C$150,2,0)))</f>
        <v/>
      </c>
      <c r="G39" s="51" t="str">
        <f>IF($E39="","",IF(ISNA(VLOOKUP($E39,DD!$A$2:$C$150,3,0)),"",VLOOKUP($E39,DD!$A$2:$C$150,3,0)))</f>
        <v/>
      </c>
      <c r="H39" s="52"/>
      <c r="I39" s="52"/>
      <c r="J39" s="52"/>
      <c r="K39" s="52"/>
      <c r="L39" s="52"/>
      <c r="M39" s="50"/>
      <c r="N39" s="45" t="str">
        <f t="shared" si="1"/>
        <v/>
      </c>
      <c r="O39" s="45" t="str">
        <f>IF(N39="","",N39+O38)</f>
        <v/>
      </c>
    </row>
    <row r="40" spans="1:15" x14ac:dyDescent="0.25">
      <c r="A40" s="97"/>
      <c r="B40" s="98"/>
      <c r="C40" s="106"/>
      <c r="D40" s="46">
        <v>3</v>
      </c>
      <c r="E40" s="50"/>
      <c r="F40" s="45" t="str">
        <f>IF($E40="","",IF(ISNA(VLOOKUP($E40,DD!$A$2:$C$150,2,0)),"NO SUCH DIVE",VLOOKUP($E40,DD!$A$2:$C$150,2,0)))</f>
        <v/>
      </c>
      <c r="G40" s="46" t="str">
        <f>IF($E40="","",IF(ISNA(VLOOKUP($E40,DD!$A$2:$C$150,3,0)),"",VLOOKUP($E40,DD!$A$2:$C$150,3,0)))</f>
        <v/>
      </c>
      <c r="H40" s="52"/>
      <c r="I40" s="52"/>
      <c r="J40" s="52"/>
      <c r="K40" s="52"/>
      <c r="L40" s="52"/>
      <c r="M40" s="50"/>
      <c r="N40" s="45" t="str">
        <f t="shared" si="1"/>
        <v/>
      </c>
      <c r="O40" s="54">
        <f>IF(N40="",0,N40+O39)</f>
        <v>0</v>
      </c>
    </row>
    <row r="41" spans="1:15" x14ac:dyDescent="0.25">
      <c r="A41" s="103">
        <v>14</v>
      </c>
      <c r="B41" s="104"/>
      <c r="C41" s="105"/>
      <c r="D41" s="80">
        <v>1</v>
      </c>
      <c r="E41" s="81"/>
      <c r="F41" s="82" t="str">
        <f>IF($E41="","",IF(ISNA(VLOOKUP($E41,DD!$A$2:$C$150,2,0)),"NO SUCH DIVE",VLOOKUP($E41,DD!$A$2:$C$150,2,0)))</f>
        <v/>
      </c>
      <c r="G41" s="83" t="str">
        <f>IF($E41="","",IF(ISNA(VLOOKUP($E41,DD!$A$2:$C$150,3,0)),"",VLOOKUP($E41,DD!$A$2:$C$150,3,0)))</f>
        <v/>
      </c>
      <c r="H41" s="84"/>
      <c r="I41" s="84"/>
      <c r="J41" s="84"/>
      <c r="K41" s="84"/>
      <c r="L41" s="84"/>
      <c r="M41" s="81"/>
      <c r="N41" s="82" t="str">
        <f t="shared" si="1"/>
        <v/>
      </c>
      <c r="O41" s="82" t="str">
        <f>IF(N41="","",N41)</f>
        <v/>
      </c>
    </row>
    <row r="42" spans="1:15" x14ac:dyDescent="0.25">
      <c r="A42" s="103"/>
      <c r="B42" s="104"/>
      <c r="C42" s="105"/>
      <c r="D42" s="80">
        <v>2</v>
      </c>
      <c r="E42" s="86"/>
      <c r="F42" s="82" t="str">
        <f>IF($E42="","",IF(ISNA(VLOOKUP($E42,DD!$A$2:$C$150,2,0)),"NO SUCH DIVE",VLOOKUP($E42,DD!$A$2:$C$150,2,0)))</f>
        <v/>
      </c>
      <c r="G42" s="83" t="str">
        <f>IF($E42="","",IF(ISNA(VLOOKUP($E42,DD!$A$2:$C$150,3,0)),"",VLOOKUP($E42,DD!$A$2:$C$150,3,0)))</f>
        <v/>
      </c>
      <c r="H42" s="84"/>
      <c r="I42" s="84"/>
      <c r="J42" s="84"/>
      <c r="K42" s="84"/>
      <c r="L42" s="84"/>
      <c r="M42" s="81"/>
      <c r="N42" s="82" t="str">
        <f t="shared" si="1"/>
        <v/>
      </c>
      <c r="O42" s="82" t="str">
        <f>IF(N42="","",N42+O41)</f>
        <v/>
      </c>
    </row>
    <row r="43" spans="1:15" x14ac:dyDescent="0.25">
      <c r="A43" s="103"/>
      <c r="B43" s="104"/>
      <c r="C43" s="105"/>
      <c r="D43" s="80">
        <v>3</v>
      </c>
      <c r="E43" s="86"/>
      <c r="F43" s="82" t="str">
        <f>IF($E43="","",IF(ISNA(VLOOKUP($E43,DD!$A$2:$C$150,2,0)),"NO SUCH DIVE",VLOOKUP($E43,DD!$A$2:$C$150,2,0)))</f>
        <v/>
      </c>
      <c r="G43" s="80" t="str">
        <f>IF($E43="","",IF(ISNA(VLOOKUP($E43,DD!$A$2:$C$150,3,0)),"",VLOOKUP($E43,DD!$A$2:$C$150,3,0)))</f>
        <v/>
      </c>
      <c r="H43" s="84"/>
      <c r="I43" s="84"/>
      <c r="J43" s="84"/>
      <c r="K43" s="84"/>
      <c r="L43" s="84"/>
      <c r="M43" s="81"/>
      <c r="N43" s="82" t="str">
        <f t="shared" si="1"/>
        <v/>
      </c>
      <c r="O43" s="85">
        <f>IF(N43="",0,N43+O42)</f>
        <v>0</v>
      </c>
    </row>
    <row r="44" spans="1:15" x14ac:dyDescent="0.25">
      <c r="A44" s="97">
        <v>15</v>
      </c>
      <c r="B44" s="98"/>
      <c r="C44" s="106"/>
      <c r="D44" s="46">
        <v>1</v>
      </c>
      <c r="E44" s="50"/>
      <c r="F44" s="45" t="str">
        <f>IF($E44="","",IF(ISNA(VLOOKUP($E44,DD!$A$2:$C$150,2,0)),"NO SUCH DIVE",VLOOKUP($E44,DD!$A$2:$C$150,2,0)))</f>
        <v/>
      </c>
      <c r="G44" s="51" t="str">
        <f>IF($E44="","",IF(ISNA(VLOOKUP($E44,DD!$A$2:$C$150,3,0)),"",VLOOKUP($E44,DD!$A$2:$C$150,3,0)))</f>
        <v/>
      </c>
      <c r="H44" s="52"/>
      <c r="I44" s="52"/>
      <c r="J44" s="52"/>
      <c r="K44" s="52"/>
      <c r="L44" s="52"/>
      <c r="M44" s="50"/>
      <c r="N44" s="45" t="str">
        <f t="shared" si="1"/>
        <v/>
      </c>
      <c r="O44" s="45" t="str">
        <f>IF(N44="","",N44)</f>
        <v/>
      </c>
    </row>
    <row r="45" spans="1:15" x14ac:dyDescent="0.25">
      <c r="A45" s="97"/>
      <c r="B45" s="98"/>
      <c r="C45" s="106"/>
      <c r="D45" s="46">
        <v>2</v>
      </c>
      <c r="E45" s="62"/>
      <c r="F45" s="45" t="str">
        <f>IF($E45="","",IF(ISNA(VLOOKUP($E45,DD!$A$2:$C$150,2,0)),"NO SUCH DIVE",VLOOKUP($E45,DD!$A$2:$C$150,2,0)))</f>
        <v/>
      </c>
      <c r="G45" s="51" t="str">
        <f>IF($E45="","",IF(ISNA(VLOOKUP($E45,DD!$A$2:$C$150,3,0)),"",VLOOKUP($E45,DD!$A$2:$C$150,3,0)))</f>
        <v/>
      </c>
      <c r="H45" s="52"/>
      <c r="I45" s="52"/>
      <c r="J45" s="52"/>
      <c r="K45" s="52"/>
      <c r="L45" s="52"/>
      <c r="M45" s="50"/>
      <c r="N45" s="45" t="str">
        <f t="shared" si="1"/>
        <v/>
      </c>
      <c r="O45" s="45" t="str">
        <f>IF(N45="","",N45+O44)</f>
        <v/>
      </c>
    </row>
    <row r="46" spans="1:15" x14ac:dyDescent="0.25">
      <c r="A46" s="97"/>
      <c r="B46" s="98"/>
      <c r="C46" s="106"/>
      <c r="D46" s="46">
        <v>3</v>
      </c>
      <c r="E46" s="62"/>
      <c r="F46" s="45" t="str">
        <f>IF($E46="","",IF(ISNA(VLOOKUP($E46,DD!$A$2:$C$150,2,0)),"NO SUCH DIVE",VLOOKUP($E46,DD!$A$2:$C$150,2,0)))</f>
        <v/>
      </c>
      <c r="G46" s="46" t="str">
        <f>IF($E46="","",IF(ISNA(VLOOKUP($E46,DD!$A$2:$C$150,3,0)),"",VLOOKUP($E46,DD!$A$2:$C$150,3,0)))</f>
        <v/>
      </c>
      <c r="H46" s="52"/>
      <c r="I46" s="52"/>
      <c r="J46" s="52"/>
      <c r="K46" s="52"/>
      <c r="L46" s="52"/>
      <c r="M46" s="50"/>
      <c r="N46" s="45" t="str">
        <f t="shared" si="1"/>
        <v/>
      </c>
      <c r="O46" s="54">
        <f>IF(N46="",0,N46+O45)</f>
        <v>0</v>
      </c>
    </row>
    <row r="47" spans="1:15" x14ac:dyDescent="0.25">
      <c r="A47" s="103">
        <v>16</v>
      </c>
      <c r="B47" s="104"/>
      <c r="C47" s="105"/>
      <c r="D47" s="80">
        <v>1</v>
      </c>
      <c r="E47" s="81"/>
      <c r="F47" s="82" t="str">
        <f>IF($E47="","",IF(ISNA(VLOOKUP($E47,DD!$A$2:$C$150,2,0)),"NO SUCH DIVE",VLOOKUP($E47,DD!$A$2:$C$150,2,0)))</f>
        <v/>
      </c>
      <c r="G47" s="83" t="str">
        <f>IF($E47="","",IF(ISNA(VLOOKUP($E47,DD!$A$2:$C$150,3,0)),"",VLOOKUP($E47,DD!$A$2:$C$150,3,0)))</f>
        <v/>
      </c>
      <c r="H47" s="84"/>
      <c r="I47" s="84"/>
      <c r="J47" s="84"/>
      <c r="K47" s="84"/>
      <c r="L47" s="84"/>
      <c r="M47" s="81"/>
      <c r="N47" s="82" t="str">
        <f t="shared" si="1"/>
        <v/>
      </c>
      <c r="O47" s="82" t="str">
        <f>IF(N47="","",N47)</f>
        <v/>
      </c>
    </row>
    <row r="48" spans="1:15" x14ac:dyDescent="0.25">
      <c r="A48" s="103"/>
      <c r="B48" s="104"/>
      <c r="C48" s="105"/>
      <c r="D48" s="80">
        <v>2</v>
      </c>
      <c r="E48" s="86"/>
      <c r="F48" s="82" t="str">
        <f>IF($E48="","",IF(ISNA(VLOOKUP($E48,DD!$A$2:$C$150,2,0)),"NO SUCH DIVE",VLOOKUP($E48,DD!$A$2:$C$150,2,0)))</f>
        <v/>
      </c>
      <c r="G48" s="83" t="str">
        <f>IF($E48="","",IF(ISNA(VLOOKUP($E48,DD!$A$2:$C$150,3,0)),"",VLOOKUP($E48,DD!$A$2:$C$150,3,0)))</f>
        <v/>
      </c>
      <c r="H48" s="84"/>
      <c r="I48" s="84"/>
      <c r="J48" s="84"/>
      <c r="K48" s="84"/>
      <c r="L48" s="84"/>
      <c r="M48" s="81"/>
      <c r="N48" s="82" t="str">
        <f t="shared" si="1"/>
        <v/>
      </c>
      <c r="O48" s="82" t="str">
        <f>IF(N48="","",N48+O47)</f>
        <v/>
      </c>
    </row>
    <row r="49" spans="1:15" x14ac:dyDescent="0.25">
      <c r="A49" s="103"/>
      <c r="B49" s="104"/>
      <c r="C49" s="105"/>
      <c r="D49" s="80">
        <v>3</v>
      </c>
      <c r="E49" s="86"/>
      <c r="F49" s="82" t="str">
        <f>IF($E49="","",IF(ISNA(VLOOKUP($E49,DD!$A$2:$C$150,2,0)),"NO SUCH DIVE",VLOOKUP($E49,DD!$A$2:$C$150,2,0)))</f>
        <v/>
      </c>
      <c r="G49" s="80" t="str">
        <f>IF($E49="","",IF(ISNA(VLOOKUP($E49,DD!$A$2:$C$150,3,0)),"",VLOOKUP($E49,DD!$A$2:$C$150,3,0)))</f>
        <v/>
      </c>
      <c r="H49" s="84"/>
      <c r="I49" s="84"/>
      <c r="J49" s="84"/>
      <c r="K49" s="84"/>
      <c r="L49" s="84"/>
      <c r="M49" s="81"/>
      <c r="N49" s="82" t="str">
        <f t="shared" si="1"/>
        <v/>
      </c>
      <c r="O49" s="85">
        <f>IF(N49="",0,N49+O48)</f>
        <v>0</v>
      </c>
    </row>
    <row r="50" spans="1:15" x14ac:dyDescent="0.25">
      <c r="A50" s="97">
        <v>17</v>
      </c>
      <c r="B50" s="98"/>
      <c r="C50" s="106"/>
      <c r="D50" s="46">
        <v>1</v>
      </c>
      <c r="E50" s="50"/>
      <c r="F50" s="45" t="str">
        <f>IF($E50="","",IF(ISNA(VLOOKUP($E50,DD!$A$2:$C$150,2,0)),"NO SUCH DIVE",VLOOKUP($E50,DD!$A$2:$C$150,2,0)))</f>
        <v/>
      </c>
      <c r="G50" s="51" t="str">
        <f>IF($E50="","",IF(ISNA(VLOOKUP($E50,DD!$A$2:$C$150,3,0)),"",VLOOKUP($E50,DD!$A$2:$C$150,3,0)))</f>
        <v/>
      </c>
      <c r="H50" s="52"/>
      <c r="I50" s="52"/>
      <c r="J50" s="52"/>
      <c r="K50" s="52"/>
      <c r="L50" s="52"/>
      <c r="M50" s="50"/>
      <c r="N50" s="45" t="str">
        <f t="shared" si="1"/>
        <v/>
      </c>
      <c r="O50" s="45" t="str">
        <f>IF(N50="","",N50)</f>
        <v/>
      </c>
    </row>
    <row r="51" spans="1:15" x14ac:dyDescent="0.25">
      <c r="A51" s="97"/>
      <c r="B51" s="98"/>
      <c r="C51" s="106"/>
      <c r="D51" s="46">
        <v>2</v>
      </c>
      <c r="E51" s="50"/>
      <c r="F51" s="45" t="str">
        <f>IF($E51="","",IF(ISNA(VLOOKUP($E51,DD!$A$2:$C$150,2,0)),"NO SUCH DIVE",VLOOKUP($E51,DD!$A$2:$C$150,2,0)))</f>
        <v/>
      </c>
      <c r="G51" s="51" t="str">
        <f>IF($E51="","",IF(ISNA(VLOOKUP($E51,DD!$A$2:$C$150,3,0)),"",VLOOKUP($E51,DD!$A$2:$C$150,3,0)))</f>
        <v/>
      </c>
      <c r="H51" s="52"/>
      <c r="I51" s="52"/>
      <c r="J51" s="52"/>
      <c r="K51" s="52"/>
      <c r="L51" s="52"/>
      <c r="M51" s="50"/>
      <c r="N51" s="45" t="str">
        <f t="shared" si="1"/>
        <v/>
      </c>
      <c r="O51" s="45" t="str">
        <f>IF(N51="","",N51+O50)</f>
        <v/>
      </c>
    </row>
    <row r="52" spans="1:15" x14ac:dyDescent="0.25">
      <c r="A52" s="97"/>
      <c r="B52" s="98"/>
      <c r="C52" s="106"/>
      <c r="D52" s="46">
        <v>3</v>
      </c>
      <c r="E52" s="50"/>
      <c r="F52" s="45" t="str">
        <f>IF($E52="","",IF(ISNA(VLOOKUP($E52,DD!$A$2:$C$150,2,0)),"NO SUCH DIVE",VLOOKUP($E52,DD!$A$2:$C$150,2,0)))</f>
        <v/>
      </c>
      <c r="G52" s="46" t="str">
        <f>IF($E52="","",IF(ISNA(VLOOKUP($E52,DD!$A$2:$C$150,3,0)),"",VLOOKUP($E52,DD!$A$2:$C$150,3,0)))</f>
        <v/>
      </c>
      <c r="H52" s="52"/>
      <c r="I52" s="52"/>
      <c r="J52" s="52"/>
      <c r="K52" s="52"/>
      <c r="L52" s="52"/>
      <c r="M52" s="50"/>
      <c r="N52" s="45" t="str">
        <f t="shared" si="1"/>
        <v/>
      </c>
      <c r="O52" s="54">
        <f>IF(N52="",0,N52+O51)</f>
        <v>0</v>
      </c>
    </row>
    <row r="53" spans="1:15" x14ac:dyDescent="0.25">
      <c r="A53" s="103">
        <v>18</v>
      </c>
      <c r="B53" s="104"/>
      <c r="C53" s="105"/>
      <c r="D53" s="80">
        <v>1</v>
      </c>
      <c r="E53" s="81"/>
      <c r="F53" s="82" t="str">
        <f>IF($E53="","",IF(ISNA(VLOOKUP($E53,DD!$A$2:$C$150,2,0)),"NO SUCH DIVE",VLOOKUP($E53,DD!$A$2:$C$150,2,0)))</f>
        <v/>
      </c>
      <c r="G53" s="83" t="str">
        <f>IF($E53="","",IF(ISNA(VLOOKUP($E53,DD!$A$2:$C$150,3,0)),"",VLOOKUP($E53,DD!$A$2:$C$150,3,0)))</f>
        <v/>
      </c>
      <c r="H53" s="84"/>
      <c r="I53" s="84"/>
      <c r="J53" s="84"/>
      <c r="K53" s="84"/>
      <c r="L53" s="84"/>
      <c r="M53" s="81"/>
      <c r="N53" s="82" t="str">
        <f t="shared" si="1"/>
        <v/>
      </c>
      <c r="O53" s="82" t="str">
        <f>IF(N53="","",N53)</f>
        <v/>
      </c>
    </row>
    <row r="54" spans="1:15" x14ac:dyDescent="0.25">
      <c r="A54" s="103"/>
      <c r="B54" s="104"/>
      <c r="C54" s="105"/>
      <c r="D54" s="80">
        <v>2</v>
      </c>
      <c r="E54" s="86"/>
      <c r="F54" s="82" t="str">
        <f>IF($E54="","",IF(ISNA(VLOOKUP($E54,DD!$A$2:$C$150,2,0)),"NO SUCH DIVE",VLOOKUP($E54,DD!$A$2:$C$150,2,0)))</f>
        <v/>
      </c>
      <c r="G54" s="83" t="str">
        <f>IF($E54="","",IF(ISNA(VLOOKUP($E54,DD!$A$2:$C$150,3,0)),"",VLOOKUP($E54,DD!$A$2:$C$150,3,0)))</f>
        <v/>
      </c>
      <c r="H54" s="84"/>
      <c r="I54" s="84"/>
      <c r="J54" s="84"/>
      <c r="K54" s="84"/>
      <c r="L54" s="84"/>
      <c r="M54" s="81"/>
      <c r="N54" s="82" t="str">
        <f t="shared" si="1"/>
        <v/>
      </c>
      <c r="O54" s="82" t="str">
        <f>IF(N54="","",N54+O53)</f>
        <v/>
      </c>
    </row>
    <row r="55" spans="1:15" x14ac:dyDescent="0.25">
      <c r="A55" s="103"/>
      <c r="B55" s="104"/>
      <c r="C55" s="105"/>
      <c r="D55" s="80">
        <v>3</v>
      </c>
      <c r="E55" s="86"/>
      <c r="F55" s="82" t="str">
        <f>IF($E55="","",IF(ISNA(VLOOKUP($E55,DD!$A$2:$C$150,2,0)),"NO SUCH DIVE",VLOOKUP($E55,DD!$A$2:$C$150,2,0)))</f>
        <v/>
      </c>
      <c r="G55" s="80" t="str">
        <f>IF($E55="","",IF(ISNA(VLOOKUP($E55,DD!$A$2:$C$150,3,0)),"",VLOOKUP($E55,DD!$A$2:$C$150,3,0)))</f>
        <v/>
      </c>
      <c r="H55" s="84"/>
      <c r="I55" s="84"/>
      <c r="J55" s="84"/>
      <c r="K55" s="84"/>
      <c r="L55" s="84"/>
      <c r="M55" s="81"/>
      <c r="N55" s="82" t="str">
        <f t="shared" si="1"/>
        <v/>
      </c>
      <c r="O55" s="85">
        <f>IF(N55="",0,N55+O54)</f>
        <v>0</v>
      </c>
    </row>
    <row r="56" spans="1:15" x14ac:dyDescent="0.25">
      <c r="A56" s="97">
        <v>19</v>
      </c>
      <c r="B56" s="98"/>
      <c r="C56" s="106"/>
      <c r="D56" s="46">
        <v>1</v>
      </c>
      <c r="E56" s="50"/>
      <c r="F56" s="45" t="str">
        <f>IF($E56="","",IF(ISNA(VLOOKUP($E56,DD!$A$2:$C$150,2,0)),"NO SUCH DIVE",VLOOKUP($E56,DD!$A$2:$C$150,2,0)))</f>
        <v/>
      </c>
      <c r="G56" s="51" t="str">
        <f>IF($E56="","",IF(ISNA(VLOOKUP($E56,DD!$A$2:$C$150,3,0)),"",VLOOKUP($E56,DD!$A$2:$C$150,3,0)))</f>
        <v/>
      </c>
      <c r="H56" s="52"/>
      <c r="I56" s="52"/>
      <c r="J56" s="52"/>
      <c r="K56" s="52"/>
      <c r="L56" s="52"/>
      <c r="M56" s="50"/>
      <c r="N56" s="45" t="str">
        <f t="shared" si="1"/>
        <v/>
      </c>
      <c r="O56" s="45" t="str">
        <f>IF(N56="","",N56)</f>
        <v/>
      </c>
    </row>
    <row r="57" spans="1:15" x14ac:dyDescent="0.25">
      <c r="A57" s="97"/>
      <c r="B57" s="98"/>
      <c r="C57" s="106"/>
      <c r="D57" s="46">
        <v>2</v>
      </c>
      <c r="E57" s="50"/>
      <c r="F57" s="45" t="str">
        <f>IF($E57="","",IF(ISNA(VLOOKUP($E57,DD!$A$2:$C$150,2,0)),"NO SUCH DIVE",VLOOKUP($E57,DD!$A$2:$C$150,2,0)))</f>
        <v/>
      </c>
      <c r="G57" s="51" t="str">
        <f>IF($E57="","",IF(ISNA(VLOOKUP($E57,DD!$A$2:$C$150,3,0)),"",VLOOKUP($E57,DD!$A$2:$C$150,3,0)))</f>
        <v/>
      </c>
      <c r="H57" s="52"/>
      <c r="I57" s="52"/>
      <c r="J57" s="52"/>
      <c r="K57" s="52"/>
      <c r="L57" s="52"/>
      <c r="M57" s="50"/>
      <c r="N57" s="45" t="str">
        <f t="shared" si="1"/>
        <v/>
      </c>
      <c r="O57" s="45" t="str">
        <f>IF(N57="","",N57+O56)</f>
        <v/>
      </c>
    </row>
    <row r="58" spans="1:15" x14ac:dyDescent="0.25">
      <c r="A58" s="97"/>
      <c r="B58" s="98"/>
      <c r="C58" s="106"/>
      <c r="D58" s="46">
        <v>3</v>
      </c>
      <c r="E58" s="50"/>
      <c r="F58" s="45" t="str">
        <f>IF($E58="","",IF(ISNA(VLOOKUP($E58,DD!$A$2:$C$150,2,0)),"NO SUCH DIVE",VLOOKUP($E58,DD!$A$2:$C$150,2,0)))</f>
        <v/>
      </c>
      <c r="G58" s="46" t="str">
        <f>IF($E58="","",IF(ISNA(VLOOKUP($E58,DD!$A$2:$C$150,3,0)),"",VLOOKUP($E58,DD!$A$2:$C$150,3,0)))</f>
        <v/>
      </c>
      <c r="H58" s="52"/>
      <c r="I58" s="52"/>
      <c r="J58" s="52"/>
      <c r="K58" s="52"/>
      <c r="L58" s="52"/>
      <c r="M58" s="50"/>
      <c r="N58" s="45" t="str">
        <f t="shared" si="1"/>
        <v/>
      </c>
      <c r="O58" s="54">
        <f>IF(N58="",0,N58+O57)</f>
        <v>0</v>
      </c>
    </row>
    <row r="59" spans="1:15" x14ac:dyDescent="0.25">
      <c r="A59" s="103">
        <v>20</v>
      </c>
      <c r="B59" s="104"/>
      <c r="C59" s="105"/>
      <c r="D59" s="80">
        <v>1</v>
      </c>
      <c r="E59" s="81"/>
      <c r="F59" s="82" t="str">
        <f>IF($E59="","",IF(ISNA(VLOOKUP($E59,DD!$A$2:$C$150,2,0)),"NO SUCH DIVE",VLOOKUP($E59,DD!$A$2:$C$150,2,0)))</f>
        <v/>
      </c>
      <c r="G59" s="83" t="str">
        <f>IF($E59="","",IF(ISNA(VLOOKUP($E59,DD!$A$2:$C$150,3,0)),"",VLOOKUP($E59,DD!$A$2:$C$150,3,0)))</f>
        <v/>
      </c>
      <c r="H59" s="84"/>
      <c r="I59" s="84"/>
      <c r="J59" s="84"/>
      <c r="K59" s="84"/>
      <c r="L59" s="84"/>
      <c r="M59" s="81"/>
      <c r="N59" s="82" t="str">
        <f t="shared" si="1"/>
        <v/>
      </c>
      <c r="O59" s="82" t="str">
        <f>IF(N59="","",N59)</f>
        <v/>
      </c>
    </row>
    <row r="60" spans="1:15" x14ac:dyDescent="0.25">
      <c r="A60" s="103"/>
      <c r="B60" s="104"/>
      <c r="C60" s="105"/>
      <c r="D60" s="80">
        <v>2</v>
      </c>
      <c r="E60" s="86"/>
      <c r="F60" s="82" t="str">
        <f>IF($E60="","",IF(ISNA(VLOOKUP($E60,DD!$A$2:$C$150,2,0)),"NO SUCH DIVE",VLOOKUP($E60,DD!$A$2:$C$150,2,0)))</f>
        <v/>
      </c>
      <c r="G60" s="83" t="str">
        <f>IF($E60="","",IF(ISNA(VLOOKUP($E60,DD!$A$2:$C$150,3,0)),"",VLOOKUP($E60,DD!$A$2:$C$150,3,0)))</f>
        <v/>
      </c>
      <c r="H60" s="84"/>
      <c r="I60" s="84"/>
      <c r="J60" s="84"/>
      <c r="K60" s="84"/>
      <c r="L60" s="84"/>
      <c r="M60" s="81"/>
      <c r="N60" s="82" t="str">
        <f t="shared" si="1"/>
        <v/>
      </c>
      <c r="O60" s="82" t="str">
        <f>IF(N60="","",N60+O59)</f>
        <v/>
      </c>
    </row>
    <row r="61" spans="1:15" x14ac:dyDescent="0.25">
      <c r="A61" s="103"/>
      <c r="B61" s="104"/>
      <c r="C61" s="105"/>
      <c r="D61" s="80">
        <v>3</v>
      </c>
      <c r="E61" s="86"/>
      <c r="F61" s="82" t="str">
        <f>IF($E61="","",IF(ISNA(VLOOKUP($E61,DD!$A$2:$C$150,2,0)),"NO SUCH DIVE",VLOOKUP($E61,DD!$A$2:$C$150,2,0)))</f>
        <v/>
      </c>
      <c r="G61" s="80" t="str">
        <f>IF($E61="","",IF(ISNA(VLOOKUP($E61,DD!$A$2:$C$150,3,0)),"",VLOOKUP($E61,DD!$A$2:$C$150,3,0)))</f>
        <v/>
      </c>
      <c r="H61" s="84"/>
      <c r="I61" s="84"/>
      <c r="J61" s="84"/>
      <c r="K61" s="84"/>
      <c r="L61" s="84"/>
      <c r="M61" s="81"/>
      <c r="N61" s="82" t="str">
        <f t="shared" si="1"/>
        <v/>
      </c>
      <c r="O61" s="85">
        <f>IF(N61="",0,N61+O60)</f>
        <v>0</v>
      </c>
    </row>
    <row r="62" spans="1:15" x14ac:dyDescent="0.25">
      <c r="A62" s="97">
        <v>21</v>
      </c>
      <c r="B62" s="98"/>
      <c r="C62" s="106"/>
      <c r="D62" s="46">
        <v>1</v>
      </c>
      <c r="E62" s="50"/>
      <c r="F62" s="45" t="str">
        <f>IF($E62="","",IF(ISNA(VLOOKUP($E62,DD!$A$2:$C$150,2,0)),"NO SUCH DIVE",VLOOKUP($E62,DD!$A$2:$C$150,2,0)))</f>
        <v/>
      </c>
      <c r="G62" s="51" t="str">
        <f>IF($E62="","",IF(ISNA(VLOOKUP($E62,DD!$A$2:$C$150,3,0)),"",VLOOKUP($E62,DD!$A$2:$C$150,3,0)))</f>
        <v/>
      </c>
      <c r="H62" s="52"/>
      <c r="I62" s="52"/>
      <c r="J62" s="52"/>
      <c r="K62" s="52"/>
      <c r="L62" s="52"/>
      <c r="M62" s="50"/>
      <c r="N62" s="45" t="str">
        <f t="shared" si="1"/>
        <v/>
      </c>
      <c r="O62" s="45" t="str">
        <f>IF(N62="","",N62)</f>
        <v/>
      </c>
    </row>
    <row r="63" spans="1:15" x14ac:dyDescent="0.25">
      <c r="A63" s="97"/>
      <c r="B63" s="98"/>
      <c r="C63" s="106"/>
      <c r="D63" s="46">
        <v>2</v>
      </c>
      <c r="E63" s="50"/>
      <c r="F63" s="45" t="str">
        <f>IF($E63="","",IF(ISNA(VLOOKUP($E63,DD!$A$2:$C$150,2,0)),"NO SUCH DIVE",VLOOKUP($E63,DD!$A$2:$C$150,2,0)))</f>
        <v/>
      </c>
      <c r="G63" s="51" t="str">
        <f>IF($E63="","",IF(ISNA(VLOOKUP($E63,DD!$A$2:$C$150,3,0)),"",VLOOKUP($E63,DD!$A$2:$C$150,3,0)))</f>
        <v/>
      </c>
      <c r="H63" s="52"/>
      <c r="I63" s="52"/>
      <c r="J63" s="52"/>
      <c r="K63" s="52"/>
      <c r="L63" s="52"/>
      <c r="M63" s="50"/>
      <c r="N63" s="45" t="str">
        <f t="shared" si="1"/>
        <v/>
      </c>
      <c r="O63" s="45" t="str">
        <f>IF(N63="","",N63+O62)</f>
        <v/>
      </c>
    </row>
    <row r="64" spans="1:15" x14ac:dyDescent="0.25">
      <c r="A64" s="97"/>
      <c r="B64" s="98"/>
      <c r="C64" s="106"/>
      <c r="D64" s="46">
        <v>3</v>
      </c>
      <c r="E64" s="50"/>
      <c r="F64" s="45" t="str">
        <f>IF($E64="","",IF(ISNA(VLOOKUP($E64,DD!$A$2:$C$150,2,0)),"NO SUCH DIVE",VLOOKUP($E64,DD!$A$2:$C$150,2,0)))</f>
        <v/>
      </c>
      <c r="G64" s="46" t="str">
        <f>IF($E64="","",IF(ISNA(VLOOKUP($E64,DD!$A$2:$C$150,3,0)),"",VLOOKUP($E64,DD!$A$2:$C$150,3,0)))</f>
        <v/>
      </c>
      <c r="H64" s="52"/>
      <c r="I64" s="52"/>
      <c r="J64" s="52"/>
      <c r="K64" s="52"/>
      <c r="L64" s="52"/>
      <c r="M64" s="50"/>
      <c r="N64" s="45" t="str">
        <f t="shared" si="1"/>
        <v/>
      </c>
      <c r="O64" s="54">
        <f>IF(N64="",0,N64+O63)</f>
        <v>0</v>
      </c>
    </row>
    <row r="65" spans="1:20" x14ac:dyDescent="0.25">
      <c r="A65" s="103">
        <v>22</v>
      </c>
      <c r="B65" s="104"/>
      <c r="C65" s="105"/>
      <c r="D65" s="80">
        <v>1</v>
      </c>
      <c r="E65" s="81"/>
      <c r="F65" s="82" t="str">
        <f>IF($E65="","",IF(ISNA(VLOOKUP($E65,DD!$A$2:$C$150,2,0)),"NO SUCH DIVE",VLOOKUP($E65,DD!$A$2:$C$150,2,0)))</f>
        <v/>
      </c>
      <c r="G65" s="83" t="str">
        <f>IF($E65="","",IF(ISNA(VLOOKUP($E65,DD!$A$2:$C$150,3,0)),"",VLOOKUP($E65,DD!$A$2:$C$150,3,0)))</f>
        <v/>
      </c>
      <c r="H65" s="84"/>
      <c r="I65" s="84"/>
      <c r="J65" s="84"/>
      <c r="K65" s="84"/>
      <c r="L65" s="84"/>
      <c r="M65" s="81"/>
      <c r="N65" s="82" t="str">
        <f t="shared" si="1"/>
        <v/>
      </c>
      <c r="O65" s="82" t="str">
        <f>IF(N65="","",N65)</f>
        <v/>
      </c>
    </row>
    <row r="66" spans="1:20" x14ac:dyDescent="0.25">
      <c r="A66" s="103"/>
      <c r="B66" s="104"/>
      <c r="C66" s="105"/>
      <c r="D66" s="80">
        <v>2</v>
      </c>
      <c r="E66" s="86"/>
      <c r="F66" s="82" t="str">
        <f>IF($E66="","",IF(ISNA(VLOOKUP($E66,DD!$A$2:$C$150,2,0)),"NO SUCH DIVE",VLOOKUP($E66,DD!$A$2:$C$150,2,0)))</f>
        <v/>
      </c>
      <c r="G66" s="83" t="str">
        <f>IF($E66="","",IF(ISNA(VLOOKUP($E66,DD!$A$2:$C$150,3,0)),"",VLOOKUP($E66,DD!$A$2:$C$150,3,0)))</f>
        <v/>
      </c>
      <c r="H66" s="84"/>
      <c r="I66" s="84"/>
      <c r="J66" s="84"/>
      <c r="K66" s="84"/>
      <c r="L66" s="84"/>
      <c r="M66" s="81"/>
      <c r="N66" s="82" t="str">
        <f t="shared" ref="N66:N73" si="2">IF(G66="","",IF(COUNT(H66:L66)=3,IF(M66&lt;&gt;"",(SUM(H66:J66)-6)*G66,SUM(H66:J66)*G66),IF(M66&lt;&gt;"",(SUM(H66:L66)-MAX(H66:L66)-MIN(H66:L66)-6)*G66,(SUM(H66:L66)-MAX(H66:L66)-MIN(H66:L66))*G66)))</f>
        <v/>
      </c>
      <c r="O66" s="82" t="str">
        <f>IF(N66="","",N66+O65)</f>
        <v/>
      </c>
    </row>
    <row r="67" spans="1:20" x14ac:dyDescent="0.25">
      <c r="A67" s="103"/>
      <c r="B67" s="104"/>
      <c r="C67" s="105"/>
      <c r="D67" s="80">
        <v>3</v>
      </c>
      <c r="E67" s="86"/>
      <c r="F67" s="82" t="str">
        <f>IF($E67="","",IF(ISNA(VLOOKUP($E67,DD!$A$2:$C$150,2,0)),"NO SUCH DIVE",VLOOKUP($E67,DD!$A$2:$C$150,2,0)))</f>
        <v/>
      </c>
      <c r="G67" s="80" t="str">
        <f>IF($E67="","",IF(ISNA(VLOOKUP($E67,DD!$A$2:$C$150,3,0)),"",VLOOKUP($E67,DD!$A$2:$C$150,3,0)))</f>
        <v/>
      </c>
      <c r="H67" s="84"/>
      <c r="I67" s="84"/>
      <c r="J67" s="84"/>
      <c r="K67" s="84"/>
      <c r="L67" s="84"/>
      <c r="M67" s="81"/>
      <c r="N67" s="82" t="str">
        <f t="shared" si="2"/>
        <v/>
      </c>
      <c r="O67" s="85">
        <f>IF(N67="",0,N67+O66)</f>
        <v>0</v>
      </c>
    </row>
    <row r="68" spans="1:20" x14ac:dyDescent="0.25">
      <c r="A68" s="97">
        <v>23</v>
      </c>
      <c r="B68" s="98"/>
      <c r="C68" s="106"/>
      <c r="D68" s="46">
        <v>1</v>
      </c>
      <c r="E68" s="50"/>
      <c r="F68" s="45" t="str">
        <f>IF($E68="","",IF(ISNA(VLOOKUP($E68,DD!$A$2:$C$150,2,0)),"NO SUCH DIVE",VLOOKUP($E68,DD!$A$2:$C$150,2,0)))</f>
        <v/>
      </c>
      <c r="G68" s="51" t="str">
        <f>IF($E68="","",IF(ISNA(VLOOKUP($E68,DD!$A$2:$C$150,3,0)),"",VLOOKUP($E68,DD!$A$2:$C$150,3,0)))</f>
        <v/>
      </c>
      <c r="H68" s="52"/>
      <c r="I68" s="52"/>
      <c r="J68" s="52"/>
      <c r="K68" s="52"/>
      <c r="L68" s="52"/>
      <c r="M68" s="50"/>
      <c r="N68" s="45" t="str">
        <f t="shared" si="2"/>
        <v/>
      </c>
      <c r="O68" s="45" t="str">
        <f>IF(N68="","",N68)</f>
        <v/>
      </c>
    </row>
    <row r="69" spans="1:20" x14ac:dyDescent="0.25">
      <c r="A69" s="97"/>
      <c r="B69" s="98"/>
      <c r="C69" s="106"/>
      <c r="D69" s="46">
        <v>2</v>
      </c>
      <c r="E69" s="62"/>
      <c r="F69" s="45" t="str">
        <f>IF($E69="","",IF(ISNA(VLOOKUP($E69,DD!$A$2:$C$150,2,0)),"NO SUCH DIVE",VLOOKUP($E69,DD!$A$2:$C$150,2,0)))</f>
        <v/>
      </c>
      <c r="G69" s="51" t="str">
        <f>IF($E69="","",IF(ISNA(VLOOKUP($E69,DD!$A$2:$C$150,3,0)),"",VLOOKUP($E69,DD!$A$2:$C$150,3,0)))</f>
        <v/>
      </c>
      <c r="H69" s="52"/>
      <c r="I69" s="52"/>
      <c r="J69" s="52"/>
      <c r="K69" s="52"/>
      <c r="L69" s="52"/>
      <c r="M69" s="50"/>
      <c r="N69" s="45" t="str">
        <f t="shared" si="2"/>
        <v/>
      </c>
      <c r="O69" s="45" t="str">
        <f>IF(N69="","",N69+O68)</f>
        <v/>
      </c>
    </row>
    <row r="70" spans="1:20" x14ac:dyDescent="0.25">
      <c r="A70" s="97"/>
      <c r="B70" s="98"/>
      <c r="C70" s="106"/>
      <c r="D70" s="46">
        <v>3</v>
      </c>
      <c r="E70" s="62"/>
      <c r="F70" s="45" t="str">
        <f>IF($E70="","",IF(ISNA(VLOOKUP($E70,DD!$A$2:$C$150,2,0)),"NO SUCH DIVE",VLOOKUP($E70,DD!$A$2:$C$150,2,0)))</f>
        <v/>
      </c>
      <c r="G70" s="46" t="str">
        <f>IF($E70="","",IF(ISNA(VLOOKUP($E70,DD!$A$2:$C$150,3,0)),"",VLOOKUP($E70,DD!$A$2:$C$150,3,0)))</f>
        <v/>
      </c>
      <c r="H70" s="52"/>
      <c r="I70" s="52"/>
      <c r="J70" s="52"/>
      <c r="K70" s="52"/>
      <c r="L70" s="52"/>
      <c r="M70" s="50"/>
      <c r="N70" s="45" t="str">
        <f t="shared" si="2"/>
        <v/>
      </c>
      <c r="O70" s="54">
        <f>IF(N70="",0,N70+O69)</f>
        <v>0</v>
      </c>
    </row>
    <row r="71" spans="1:20" x14ac:dyDescent="0.25">
      <c r="A71" s="103">
        <v>24</v>
      </c>
      <c r="B71" s="104"/>
      <c r="C71" s="105"/>
      <c r="D71" s="80">
        <v>1</v>
      </c>
      <c r="E71" s="81"/>
      <c r="F71" s="82" t="str">
        <f>IF($E71="","",IF(ISNA(VLOOKUP($E71,DD!$A$2:$C$150,2,0)),"NO SUCH DIVE",VLOOKUP($E71,DD!$A$2:$C$150,2,0)))</f>
        <v/>
      </c>
      <c r="G71" s="83" t="str">
        <f>IF($E71="","",IF(ISNA(VLOOKUP($E71,DD!$A$2:$C$150,3,0)),"",VLOOKUP($E71,DD!$A$2:$C$150,3,0)))</f>
        <v/>
      </c>
      <c r="H71" s="84"/>
      <c r="I71" s="84"/>
      <c r="J71" s="84"/>
      <c r="K71" s="84"/>
      <c r="L71" s="84"/>
      <c r="M71" s="81"/>
      <c r="N71" s="82" t="str">
        <f t="shared" si="2"/>
        <v/>
      </c>
      <c r="O71" s="82" t="str">
        <f>IF(N71="","",N71)</f>
        <v/>
      </c>
    </row>
    <row r="72" spans="1:20" x14ac:dyDescent="0.25">
      <c r="A72" s="103"/>
      <c r="B72" s="104"/>
      <c r="C72" s="105"/>
      <c r="D72" s="80">
        <v>2</v>
      </c>
      <c r="E72" s="86"/>
      <c r="F72" s="82" t="str">
        <f>IF($E72="","",IF(ISNA(VLOOKUP($E72,DD!$A$2:$C$150,2,0)),"NO SUCH DIVE",VLOOKUP($E72,DD!$A$2:$C$150,2,0)))</f>
        <v/>
      </c>
      <c r="G72" s="83" t="str">
        <f>IF($E72="","",IF(ISNA(VLOOKUP($E72,DD!$A$2:$C$150,3,0)),"",VLOOKUP($E72,DD!$A$2:$C$150,3,0)))</f>
        <v/>
      </c>
      <c r="H72" s="84"/>
      <c r="I72" s="84"/>
      <c r="J72" s="84"/>
      <c r="K72" s="84"/>
      <c r="L72" s="84"/>
      <c r="M72" s="81"/>
      <c r="N72" s="82" t="str">
        <f t="shared" si="2"/>
        <v/>
      </c>
      <c r="O72" s="82" t="str">
        <f>IF(N72="","",N72+O71)</f>
        <v/>
      </c>
    </row>
    <row r="73" spans="1:20" x14ac:dyDescent="0.25">
      <c r="A73" s="103"/>
      <c r="B73" s="104"/>
      <c r="C73" s="105"/>
      <c r="D73" s="80">
        <v>3</v>
      </c>
      <c r="E73" s="86"/>
      <c r="F73" s="82" t="str">
        <f>IF($E73="","",IF(ISNA(VLOOKUP($E73,DD!$A$2:$C$150,2,0)),"NO SUCH DIVE",VLOOKUP($E73,DD!$A$2:$C$150,2,0)))</f>
        <v/>
      </c>
      <c r="G73" s="80" t="str">
        <f>IF($E73="","",IF(ISNA(VLOOKUP($E73,DD!$A$2:$C$150,3,0)),"",VLOOKUP($E73,DD!$A$2:$C$150,3,0)))</f>
        <v/>
      </c>
      <c r="H73" s="84"/>
      <c r="I73" s="84"/>
      <c r="J73" s="84"/>
      <c r="K73" s="84"/>
      <c r="L73" s="84"/>
      <c r="M73" s="81"/>
      <c r="N73" s="82" t="str">
        <f t="shared" si="2"/>
        <v/>
      </c>
      <c r="O73" s="85">
        <f>IF(N73="",0,N73+O72)</f>
        <v>0</v>
      </c>
    </row>
    <row r="74" spans="1:20" x14ac:dyDescent="0.25">
      <c r="B74" s="49"/>
      <c r="C74" s="49"/>
    </row>
    <row r="75" spans="1:20" ht="36" customHeight="1" x14ac:dyDescent="0.25">
      <c r="C75" s="63" t="s">
        <v>78</v>
      </c>
      <c r="D75" s="64" t="s">
        <v>79</v>
      </c>
      <c r="E75" s="65" t="s">
        <v>80</v>
      </c>
      <c r="F75" s="65" t="s">
        <v>27</v>
      </c>
      <c r="G75" s="65" t="s">
        <v>33</v>
      </c>
      <c r="H75" s="65" t="s">
        <v>81</v>
      </c>
      <c r="I75" s="66" t="s">
        <v>30</v>
      </c>
      <c r="R75" s="45" t="str">
        <f>INFO!$B$4</f>
        <v>Side</v>
      </c>
      <c r="S75" s="45" t="str">
        <f>INFO!$B$5</f>
        <v>ALPS</v>
      </c>
    </row>
    <row r="76" spans="1:20" x14ac:dyDescent="0.25">
      <c r="C76" s="67">
        <f>IF(E76&lt;1,0,1)</f>
        <v>1</v>
      </c>
      <c r="D76" s="68">
        <f>IF(OR(C76&lt;1,H76&lt;&gt;"",COUNTIF(T$76:T76,T76)&gt;3),"",VLOOKUP(C76-COUNTA(H$76:H76),DD!$E$24:$F$49,2))</f>
        <v>16</v>
      </c>
      <c r="E76" s="69">
        <f>IF(LARGE($R$2:$R$25,1)&lt;1,0,LARGE($R$2:$R$25,1))</f>
        <v>55.800007999999998</v>
      </c>
      <c r="F76" s="70" t="str">
        <f t="shared" ref="F76:F99" si="3">VLOOKUP(E76,$R$2:$T$26,2,0)</f>
        <v>Darcy Geffroy</v>
      </c>
      <c r="G76" s="68" t="str">
        <f t="shared" ref="G76:G99" si="4">VLOOKUP(E76,$R$2:$T$26,3,0)</f>
        <v>Val</v>
      </c>
      <c r="H76" s="71"/>
      <c r="I76" s="72" t="str">
        <f t="shared" ref="I76:I98" si="5">IF(AND(OR(C76=C75,C76=C77),C76&lt;&gt;0),"TIE","")</f>
        <v/>
      </c>
      <c r="R76" s="45">
        <f t="shared" ref="R76:R99" si="6">IF(G76=$R$75,D76,0)</f>
        <v>0</v>
      </c>
      <c r="S76" s="45">
        <f t="shared" ref="S76:S99" si="7">IF(G76=$S$75,D76,0)</f>
        <v>0</v>
      </c>
      <c r="T76" s="73" t="str">
        <f t="shared" ref="T76:T99" si="8">G76&amp;H76</f>
        <v>Val</v>
      </c>
    </row>
    <row r="77" spans="1:20" x14ac:dyDescent="0.25">
      <c r="C77" s="67">
        <f>IF(E77&lt;1,0,IF(INT(E77*100)=INT(E76*100),C76,2))</f>
        <v>2</v>
      </c>
      <c r="D77" s="68">
        <f>IF(OR(C77&lt;1,H77&lt;&gt;"",COUNTIF(T$76:T77,T77)&gt;3),"",VLOOKUP(C77-COUNTA(H$76:H77),DD!$E$24:$F$49,2))</f>
        <v>14</v>
      </c>
      <c r="E77" s="69">
        <f>IF(LARGE($R$2:$R$25,2)&lt;1,0,LARGE($R$2:$R$25,2))</f>
        <v>50.950005000000004</v>
      </c>
      <c r="F77" s="70" t="str">
        <f t="shared" si="3"/>
        <v>Dane Brodeur</v>
      </c>
      <c r="G77" s="68" t="str">
        <f t="shared" si="4"/>
        <v>Val</v>
      </c>
      <c r="H77" s="71"/>
      <c r="I77" s="72" t="str">
        <f t="shared" si="5"/>
        <v/>
      </c>
      <c r="R77" s="45">
        <f t="shared" si="6"/>
        <v>0</v>
      </c>
      <c r="S77" s="45">
        <f t="shared" si="7"/>
        <v>0</v>
      </c>
      <c r="T77" s="73" t="str">
        <f t="shared" si="8"/>
        <v>Val</v>
      </c>
    </row>
    <row r="78" spans="1:20" x14ac:dyDescent="0.25">
      <c r="C78" s="67">
        <f>IF(E78&lt;1,0,IF(INT(E78*100)=INT(E77*100),C77,3))</f>
        <v>3</v>
      </c>
      <c r="D78" s="68">
        <f>IF(OR(C78&lt;1,H78&lt;&gt;"",COUNTIF(T$76:T78,T78)&gt;3),"",VLOOKUP(C78-COUNTA(H$76:H78),DD!$E$24:$F$49,2))</f>
        <v>12</v>
      </c>
      <c r="E78" s="69">
        <f>IF(LARGE($R$2:$R$25,3)&lt;1,0,LARGE($R$2:$R$25,3))</f>
        <v>49.650001000000003</v>
      </c>
      <c r="F78" s="70" t="str">
        <f t="shared" si="3"/>
        <v>Jackson Graham</v>
      </c>
      <c r="G78" s="68" t="str">
        <f t="shared" si="4"/>
        <v>Cedar</v>
      </c>
      <c r="H78" s="71"/>
      <c r="I78" s="72" t="str">
        <f t="shared" si="5"/>
        <v/>
      </c>
      <c r="R78" s="45">
        <f t="shared" si="6"/>
        <v>0</v>
      </c>
      <c r="S78" s="45">
        <f t="shared" si="7"/>
        <v>0</v>
      </c>
      <c r="T78" s="73" t="str">
        <f t="shared" si="8"/>
        <v>Cedar</v>
      </c>
    </row>
    <row r="79" spans="1:20" x14ac:dyDescent="0.25">
      <c r="C79" s="67">
        <f>IF(E79&lt;1,0,IF(INT(E79*100)=INT(E78*100),C78,4))</f>
        <v>4</v>
      </c>
      <c r="D79" s="68">
        <f>IF(OR(C79&lt;1,H79&lt;&gt;"",COUNTIF(T$76:T79,T79)&gt;3),"",VLOOKUP(C79-COUNTA(H$76:H79),DD!$E$24:$F$49,2))</f>
        <v>11</v>
      </c>
      <c r="E79" s="69">
        <f>IF(LARGE($R$2:$R$25,4)&lt;1,0,LARGE($R$2:$R$25,4))</f>
        <v>48.650006999999995</v>
      </c>
      <c r="F79" s="70" t="str">
        <f t="shared" si="3"/>
        <v>Sebastien Sevigny</v>
      </c>
      <c r="G79" s="68" t="str">
        <f t="shared" si="4"/>
        <v>Beau</v>
      </c>
      <c r="H79" s="71"/>
      <c r="I79" s="72" t="str">
        <f t="shared" si="5"/>
        <v/>
      </c>
      <c r="R79" s="45">
        <f t="shared" si="6"/>
        <v>0</v>
      </c>
      <c r="S79" s="45">
        <f t="shared" si="7"/>
        <v>0</v>
      </c>
      <c r="T79" s="73" t="str">
        <f t="shared" si="8"/>
        <v>Beau</v>
      </c>
    </row>
    <row r="80" spans="1:20" x14ac:dyDescent="0.25">
      <c r="C80" s="67">
        <f>IF(E80&lt;1,0,IF(INT(E80*100)=INT(E79*100),C79,5))</f>
        <v>0</v>
      </c>
      <c r="D80" s="68" t="str">
        <f>IF(OR(C80&lt;1,H80&lt;&gt;"",COUNTIF(T$76:T80,T80)&gt;3),"",VLOOKUP(C80-COUNTA(H$76:H80),DD!$E$24:$F$49,2))</f>
        <v/>
      </c>
      <c r="E80" s="69">
        <f>IF(LARGE($R$2:$R$25,5)&lt;1,0,LARGE($R$2:$R$25,5))</f>
        <v>0</v>
      </c>
      <c r="F80" s="70">
        <f t="shared" si="3"/>
        <v>0</v>
      </c>
      <c r="G80" s="68">
        <f t="shared" si="4"/>
        <v>0</v>
      </c>
      <c r="H80" s="71"/>
      <c r="I80" s="72" t="str">
        <f t="shared" si="5"/>
        <v/>
      </c>
      <c r="R80" s="45">
        <f t="shared" si="6"/>
        <v>0</v>
      </c>
      <c r="S80" s="45">
        <f t="shared" si="7"/>
        <v>0</v>
      </c>
      <c r="T80" s="73" t="str">
        <f t="shared" si="8"/>
        <v>0</v>
      </c>
    </row>
    <row r="81" spans="3:20" x14ac:dyDescent="0.25">
      <c r="C81" s="67">
        <f>IF(E81&lt;1,0,IF(INT(E81*100)=INT(E80*100),C80,6))</f>
        <v>0</v>
      </c>
      <c r="D81" s="68" t="str">
        <f>IF(OR(C81&lt;1,H81&lt;&gt;"",COUNTIF(T$76:T81,T81)&gt;3),"",VLOOKUP(C81-COUNTA(H$76:H81),DD!$E$24:$F$49,2))</f>
        <v/>
      </c>
      <c r="E81" s="69">
        <f>IF(LARGE($R$2:$R$25,6)&lt;1,0,LARGE($R$2:$R$25,6))</f>
        <v>0</v>
      </c>
      <c r="F81" s="70">
        <f t="shared" si="3"/>
        <v>0</v>
      </c>
      <c r="G81" s="68">
        <f t="shared" si="4"/>
        <v>0</v>
      </c>
      <c r="H81" s="71"/>
      <c r="I81" s="72" t="str">
        <f t="shared" si="5"/>
        <v/>
      </c>
      <c r="R81" s="45">
        <f t="shared" si="6"/>
        <v>0</v>
      </c>
      <c r="S81" s="45">
        <f t="shared" si="7"/>
        <v>0</v>
      </c>
      <c r="T81" s="73" t="str">
        <f t="shared" si="8"/>
        <v>0</v>
      </c>
    </row>
    <row r="82" spans="3:20" x14ac:dyDescent="0.25">
      <c r="C82" s="67">
        <f>IF(E82&lt;1,0,IF(INT(E82*100)=INT(E81*100),C81,7))</f>
        <v>0</v>
      </c>
      <c r="D82" s="68" t="str">
        <f>IF(OR(C82&lt;1,H82&lt;&gt;"",COUNTIF(T$76:T82,T82)&gt;3),"",VLOOKUP(C82-COUNTA(H$76:H82),DD!$E$24:$F$49,2))</f>
        <v/>
      </c>
      <c r="E82" s="69">
        <f>IF(LARGE($R$2:$R$25,7)&lt;1,0,LARGE($R$2:$R$25,7))</f>
        <v>0</v>
      </c>
      <c r="F82" s="70">
        <f t="shared" si="3"/>
        <v>0</v>
      </c>
      <c r="G82" s="68">
        <f t="shared" si="4"/>
        <v>0</v>
      </c>
      <c r="H82" s="71"/>
      <c r="I82" s="72" t="str">
        <f t="shared" si="5"/>
        <v/>
      </c>
      <c r="R82" s="45">
        <f t="shared" si="6"/>
        <v>0</v>
      </c>
      <c r="S82" s="45">
        <f t="shared" si="7"/>
        <v>0</v>
      </c>
      <c r="T82" s="73" t="str">
        <f t="shared" si="8"/>
        <v>0</v>
      </c>
    </row>
    <row r="83" spans="3:20" x14ac:dyDescent="0.25">
      <c r="C83" s="67">
        <f>IF(E83&lt;1,0,IF(INT(E83*100)=INT(E82*100),C82,8))</f>
        <v>0</v>
      </c>
      <c r="D83" s="68" t="str">
        <f>IF(OR(C83&lt;1,H83&lt;&gt;"",COUNTIF(T$76:T83,T83)&gt;3),"",VLOOKUP(C83-COUNTA(H$76:H83),DD!$E$24:$F$49,2))</f>
        <v/>
      </c>
      <c r="E83" s="69">
        <f>IF(LARGE($R$2:$R$25,8)&lt;1,0,LARGE($R$2:$R$25,8))</f>
        <v>0</v>
      </c>
      <c r="F83" s="70">
        <f t="shared" si="3"/>
        <v>0</v>
      </c>
      <c r="G83" s="68">
        <f t="shared" si="4"/>
        <v>0</v>
      </c>
      <c r="H83" s="71"/>
      <c r="I83" s="72" t="str">
        <f t="shared" si="5"/>
        <v/>
      </c>
      <c r="R83" s="45">
        <f t="shared" si="6"/>
        <v>0</v>
      </c>
      <c r="S83" s="45">
        <f t="shared" si="7"/>
        <v>0</v>
      </c>
      <c r="T83" s="73" t="str">
        <f t="shared" si="8"/>
        <v>0</v>
      </c>
    </row>
    <row r="84" spans="3:20" x14ac:dyDescent="0.25">
      <c r="C84" s="67">
        <f>IF(E84&lt;1,0,IF(INT(E84*100)=INT(E83*100),C83,9))</f>
        <v>0</v>
      </c>
      <c r="D84" s="68" t="str">
        <f>IF(OR(C84&lt;1,H84&lt;&gt;"",COUNTIF(T$76:T84,T84)&gt;3),"",VLOOKUP(C84-COUNTA(H$76:H84),DD!$E$24:$F$49,2))</f>
        <v/>
      </c>
      <c r="E84" s="69">
        <f>IF(LARGE($R$2:$R$25,9)&lt;1,0,LARGE($R$2:$R$25,9))</f>
        <v>0</v>
      </c>
      <c r="F84" s="70">
        <f t="shared" si="3"/>
        <v>0</v>
      </c>
      <c r="G84" s="68">
        <f t="shared" si="4"/>
        <v>0</v>
      </c>
      <c r="H84" s="71"/>
      <c r="I84" s="72" t="str">
        <f t="shared" si="5"/>
        <v/>
      </c>
      <c r="R84" s="45">
        <f t="shared" si="6"/>
        <v>0</v>
      </c>
      <c r="S84" s="45">
        <f t="shared" si="7"/>
        <v>0</v>
      </c>
      <c r="T84" s="73" t="str">
        <f t="shared" si="8"/>
        <v>0</v>
      </c>
    </row>
    <row r="85" spans="3:20" x14ac:dyDescent="0.25">
      <c r="C85" s="67">
        <f>IF(E85&lt;1,0,IF(INT(E85*100)=INT(E84*100),C84,10))</f>
        <v>0</v>
      </c>
      <c r="D85" s="68" t="str">
        <f>IF(OR(C85&lt;1,H85&lt;&gt;"",COUNTIF(T$76:T85,T85)&gt;3),"",VLOOKUP(C85-COUNTA(H$76:H85),DD!$E$24:$F$49,2))</f>
        <v/>
      </c>
      <c r="E85" s="69">
        <f>IF(LARGE($R$2:$R$25,10)&lt;1,0,LARGE($R$2:$R$25,10))</f>
        <v>0</v>
      </c>
      <c r="F85" s="70">
        <f t="shared" si="3"/>
        <v>0</v>
      </c>
      <c r="G85" s="68">
        <f t="shared" si="4"/>
        <v>0</v>
      </c>
      <c r="H85" s="71"/>
      <c r="I85" s="72" t="str">
        <f t="shared" si="5"/>
        <v/>
      </c>
      <c r="R85" s="45">
        <f t="shared" si="6"/>
        <v>0</v>
      </c>
      <c r="S85" s="45">
        <f t="shared" si="7"/>
        <v>0</v>
      </c>
      <c r="T85" s="73" t="str">
        <f t="shared" si="8"/>
        <v>0</v>
      </c>
    </row>
    <row r="86" spans="3:20" x14ac:dyDescent="0.25">
      <c r="C86" s="67">
        <f>IF(E86&lt;1,0,IF(INT(E86*100)=INT(E85*100),C85,11))</f>
        <v>0</v>
      </c>
      <c r="D86" s="68" t="str">
        <f>IF(OR(C86&lt;1,H86&lt;&gt;"",COUNTIF(T$76:T86,T86)&gt;3),"",VLOOKUP(C86-COUNTA(H$76:H86),DD!$E$24:$F$49,2))</f>
        <v/>
      </c>
      <c r="E86" s="69">
        <f>IF(LARGE($R$2:$R$25,11)&lt;1,0,LARGE($R$2:$R$25,11))</f>
        <v>0</v>
      </c>
      <c r="F86" s="70">
        <f t="shared" si="3"/>
        <v>0</v>
      </c>
      <c r="G86" s="68">
        <f t="shared" si="4"/>
        <v>0</v>
      </c>
      <c r="H86" s="71"/>
      <c r="I86" s="72" t="str">
        <f t="shared" si="5"/>
        <v/>
      </c>
      <c r="R86" s="45">
        <f t="shared" si="6"/>
        <v>0</v>
      </c>
      <c r="S86" s="45">
        <f t="shared" si="7"/>
        <v>0</v>
      </c>
      <c r="T86" s="73" t="str">
        <f t="shared" si="8"/>
        <v>0</v>
      </c>
    </row>
    <row r="87" spans="3:20" x14ac:dyDescent="0.25">
      <c r="C87" s="67">
        <f>IF(E87&lt;1,0,IF(INT(E87*100)=INT(E86*100),C86,12))</f>
        <v>0</v>
      </c>
      <c r="D87" s="68" t="str">
        <f>IF(OR(C87&lt;1,H87&lt;&gt;"",COUNTIF(T$76:T87,T87)&gt;3),"",VLOOKUP(C87-COUNTA(H$76:H87),DD!$E$24:$F$49,2))</f>
        <v/>
      </c>
      <c r="E87" s="69">
        <f>IF(LARGE($R$2:$R$25,12)&lt;1,0,LARGE($R$2:$R$25,12))</f>
        <v>0</v>
      </c>
      <c r="F87" s="70">
        <f t="shared" si="3"/>
        <v>0</v>
      </c>
      <c r="G87" s="68">
        <f t="shared" si="4"/>
        <v>0</v>
      </c>
      <c r="H87" s="71"/>
      <c r="I87" s="72" t="str">
        <f t="shared" si="5"/>
        <v/>
      </c>
      <c r="R87" s="45">
        <f t="shared" si="6"/>
        <v>0</v>
      </c>
      <c r="S87" s="45">
        <f t="shared" si="7"/>
        <v>0</v>
      </c>
      <c r="T87" s="73" t="str">
        <f t="shared" si="8"/>
        <v>0</v>
      </c>
    </row>
    <row r="88" spans="3:20" x14ac:dyDescent="0.25">
      <c r="C88" s="67">
        <f>IF(E88&lt;1,0,IF(INT(E88*100)=INT(E87*100),C87,13))</f>
        <v>0</v>
      </c>
      <c r="D88" s="68" t="str">
        <f>IF(OR(C88&lt;1,H88&lt;&gt;"",COUNTIF(T$76:T88,T88)&gt;3),"",VLOOKUP(C88-COUNTA(H$76:H88),DD!$E$24:$F$49,2))</f>
        <v/>
      </c>
      <c r="E88" s="69">
        <f>IF(LARGE($R$2:$R$25,13)&lt;1,0,LARGE($R$2:$R$25,13))</f>
        <v>0</v>
      </c>
      <c r="F88" s="70">
        <f t="shared" si="3"/>
        <v>0</v>
      </c>
      <c r="G88" s="68">
        <f t="shared" si="4"/>
        <v>0</v>
      </c>
      <c r="H88" s="71"/>
      <c r="I88" s="72" t="str">
        <f t="shared" si="5"/>
        <v/>
      </c>
      <c r="R88" s="45">
        <f t="shared" si="6"/>
        <v>0</v>
      </c>
      <c r="S88" s="45">
        <f t="shared" si="7"/>
        <v>0</v>
      </c>
      <c r="T88" s="73" t="str">
        <f t="shared" si="8"/>
        <v>0</v>
      </c>
    </row>
    <row r="89" spans="3:20" x14ac:dyDescent="0.25">
      <c r="C89" s="67">
        <f>IF(E89&lt;1,0,IF(INT(E89*100)=INT(E88*100),C88,14))</f>
        <v>0</v>
      </c>
      <c r="D89" s="68" t="str">
        <f>IF(OR(C89&lt;1,H89&lt;&gt;"",COUNTIF(T$76:T89,T89)&gt;3),"",VLOOKUP(C89-COUNTA(H$76:H89),DD!$E$24:$F$49,2))</f>
        <v/>
      </c>
      <c r="E89" s="69">
        <f>IF(LARGE($R$2:$R$25,14)&lt;1,0,LARGE($R$2:$R$25,14))</f>
        <v>0</v>
      </c>
      <c r="F89" s="70">
        <f t="shared" si="3"/>
        <v>0</v>
      </c>
      <c r="G89" s="68">
        <f t="shared" si="4"/>
        <v>0</v>
      </c>
      <c r="H89" s="71"/>
      <c r="I89" s="72" t="str">
        <f t="shared" si="5"/>
        <v/>
      </c>
      <c r="R89" s="45">
        <f t="shared" si="6"/>
        <v>0</v>
      </c>
      <c r="S89" s="45">
        <f t="shared" si="7"/>
        <v>0</v>
      </c>
      <c r="T89" s="73" t="str">
        <f t="shared" si="8"/>
        <v>0</v>
      </c>
    </row>
    <row r="90" spans="3:20" x14ac:dyDescent="0.25">
      <c r="C90" s="67">
        <f>IF(E90&lt;1,0,IF(INT(E90*100)=INT(E89*100),C89,15))</f>
        <v>0</v>
      </c>
      <c r="D90" s="68" t="str">
        <f>IF(OR(C90&lt;1,H90&lt;&gt;"",COUNTIF(T$76:T90,T90)&gt;3),"",VLOOKUP(C90-COUNTA(H$76:H90),DD!$E$24:$F$49,2))</f>
        <v/>
      </c>
      <c r="E90" s="69">
        <f>IF(LARGE($R$2:$R$25,15)&lt;1,0,LARGE($R$2:$R$25,15))</f>
        <v>0</v>
      </c>
      <c r="F90" s="70">
        <f t="shared" si="3"/>
        <v>0</v>
      </c>
      <c r="G90" s="68">
        <f t="shared" si="4"/>
        <v>0</v>
      </c>
      <c r="H90" s="71"/>
      <c r="I90" s="72" t="str">
        <f t="shared" si="5"/>
        <v/>
      </c>
      <c r="R90" s="45">
        <f t="shared" si="6"/>
        <v>0</v>
      </c>
      <c r="S90" s="45">
        <f t="shared" si="7"/>
        <v>0</v>
      </c>
      <c r="T90" s="73" t="str">
        <f t="shared" si="8"/>
        <v>0</v>
      </c>
    </row>
    <row r="91" spans="3:20" x14ac:dyDescent="0.25">
      <c r="C91" s="67">
        <f>IF(E91&lt;1,0,IF(INT(E91*100)=INT(E90*100),C90,16))</f>
        <v>0</v>
      </c>
      <c r="D91" s="68" t="str">
        <f>IF(OR(C91&lt;1,H91&lt;&gt;"",COUNTIF(T$76:T91,T91)&gt;3),"",VLOOKUP(C91-COUNTA(H$76:H91),DD!$E$24:$F$49,2))</f>
        <v/>
      </c>
      <c r="E91" s="69">
        <f>IF(LARGE($R$2:$R$25,16)&lt;1,0,LARGE($R$2:$R$25,16))</f>
        <v>0</v>
      </c>
      <c r="F91" s="70">
        <f t="shared" si="3"/>
        <v>0</v>
      </c>
      <c r="G91" s="68">
        <f t="shared" si="4"/>
        <v>0</v>
      </c>
      <c r="H91" s="71"/>
      <c r="I91" s="72" t="str">
        <f t="shared" si="5"/>
        <v/>
      </c>
      <c r="R91" s="45">
        <f t="shared" si="6"/>
        <v>0</v>
      </c>
      <c r="S91" s="45">
        <f t="shared" si="7"/>
        <v>0</v>
      </c>
      <c r="T91" s="73" t="str">
        <f t="shared" si="8"/>
        <v>0</v>
      </c>
    </row>
    <row r="92" spans="3:20" x14ac:dyDescent="0.25">
      <c r="C92" s="67">
        <f>IF(E92&lt;1,0,IF(INT(E92*100)=INT(E91*100),C91,17))</f>
        <v>0</v>
      </c>
      <c r="D92" s="68" t="str">
        <f>IF(OR(C92&lt;1,H92&lt;&gt;"",COUNTIF(T$76:T92,T92)&gt;3),"",VLOOKUP(C92-COUNTA(H$76:H92),DD!$E$24:$F$49,2))</f>
        <v/>
      </c>
      <c r="E92" s="69">
        <f>IF(LARGE($R$2:$R$25,17)&lt;1,0,LARGE($R$2:$R$25,17))</f>
        <v>0</v>
      </c>
      <c r="F92" s="70">
        <f t="shared" si="3"/>
        <v>0</v>
      </c>
      <c r="G92" s="68">
        <f t="shared" si="4"/>
        <v>0</v>
      </c>
      <c r="H92" s="71"/>
      <c r="I92" s="72" t="str">
        <f t="shared" si="5"/>
        <v/>
      </c>
      <c r="R92" s="45">
        <f t="shared" si="6"/>
        <v>0</v>
      </c>
      <c r="S92" s="45">
        <f t="shared" si="7"/>
        <v>0</v>
      </c>
      <c r="T92" s="73" t="str">
        <f t="shared" si="8"/>
        <v>0</v>
      </c>
    </row>
    <row r="93" spans="3:20" x14ac:dyDescent="0.25">
      <c r="C93" s="67">
        <f>IF(E93&lt;1,0,IF(INT(E93*100)=INT(E92*100),C92,18))</f>
        <v>0</v>
      </c>
      <c r="D93" s="68" t="str">
        <f>IF(OR(C93&lt;1,H93&lt;&gt;"",COUNTIF(T$76:T93,T93)&gt;3),"",VLOOKUP(C93-COUNTA(H$76:H93),DD!$E$24:$F$49,2))</f>
        <v/>
      </c>
      <c r="E93" s="69">
        <f>IF(LARGE($R$2:$R$25,18)&lt;1,0,LARGE($R$2:$R$25,18))</f>
        <v>0</v>
      </c>
      <c r="F93" s="70">
        <f t="shared" si="3"/>
        <v>0</v>
      </c>
      <c r="G93" s="68">
        <f t="shared" si="4"/>
        <v>0</v>
      </c>
      <c r="H93" s="71"/>
      <c r="I93" s="72" t="str">
        <f t="shared" si="5"/>
        <v/>
      </c>
      <c r="R93" s="45">
        <f t="shared" si="6"/>
        <v>0</v>
      </c>
      <c r="S93" s="45">
        <f t="shared" si="7"/>
        <v>0</v>
      </c>
      <c r="T93" s="73" t="str">
        <f t="shared" si="8"/>
        <v>0</v>
      </c>
    </row>
    <row r="94" spans="3:20" x14ac:dyDescent="0.25">
      <c r="C94" s="67">
        <f>IF(E94&lt;1,0,IF(INT(E94*100)=INT(E93*100),C93,19))</f>
        <v>0</v>
      </c>
      <c r="D94" s="68" t="str">
        <f>IF(OR(C94&lt;1,H94&lt;&gt;"",COUNTIF(T$76:T94,T94)&gt;3),"",VLOOKUP(C94-COUNTA(H$76:H94),DD!$E$24:$F$49,2))</f>
        <v/>
      </c>
      <c r="E94" s="69">
        <f>IF(LARGE($R$2:$R$25,19)&lt;1,0,LARGE($R$2:$R$25,19))</f>
        <v>0</v>
      </c>
      <c r="F94" s="70">
        <f t="shared" si="3"/>
        <v>0</v>
      </c>
      <c r="G94" s="68">
        <f t="shared" si="4"/>
        <v>0</v>
      </c>
      <c r="H94" s="71"/>
      <c r="I94" s="72" t="str">
        <f t="shared" si="5"/>
        <v/>
      </c>
      <c r="R94" s="45">
        <f t="shared" si="6"/>
        <v>0</v>
      </c>
      <c r="S94" s="45">
        <f t="shared" si="7"/>
        <v>0</v>
      </c>
      <c r="T94" s="73" t="str">
        <f t="shared" si="8"/>
        <v>0</v>
      </c>
    </row>
    <row r="95" spans="3:20" x14ac:dyDescent="0.25">
      <c r="C95" s="67">
        <f>IF(E95&lt;1,0,IF(INT(E95*100)=INT(E94*100),C94,20))</f>
        <v>0</v>
      </c>
      <c r="D95" s="68" t="str">
        <f>IF(OR(C95&lt;1,H95&lt;&gt;"",COUNTIF(T$76:T95,T95)&gt;3),"",VLOOKUP(C95-COUNTA(H$76:H95),DD!$E$24:$F$49,2))</f>
        <v/>
      </c>
      <c r="E95" s="69">
        <f>IF(LARGE($R$2:$R$25,20)&lt;1,0,LARGE($R$2:$R$25,20))</f>
        <v>0</v>
      </c>
      <c r="F95" s="70">
        <f t="shared" si="3"/>
        <v>0</v>
      </c>
      <c r="G95" s="68">
        <f t="shared" si="4"/>
        <v>0</v>
      </c>
      <c r="H95" s="71"/>
      <c r="I95" s="72" t="str">
        <f t="shared" si="5"/>
        <v/>
      </c>
      <c r="R95" s="45">
        <f t="shared" si="6"/>
        <v>0</v>
      </c>
      <c r="S95" s="45">
        <f t="shared" si="7"/>
        <v>0</v>
      </c>
      <c r="T95" s="73" t="str">
        <f t="shared" si="8"/>
        <v>0</v>
      </c>
    </row>
    <row r="96" spans="3:20" x14ac:dyDescent="0.25">
      <c r="C96" s="67">
        <f>IF(E96&lt;1,0,IF(INT(E96*100)=INT(E95*100),C95,21))</f>
        <v>0</v>
      </c>
      <c r="D96" s="68" t="str">
        <f>IF(OR(C96&lt;1,H96&lt;&gt;"",COUNTIF(T$76:T96,T96)&gt;3),"",VLOOKUP(C96-COUNTA(H$76:H96),DD!$E$24:$F$49,2))</f>
        <v/>
      </c>
      <c r="E96" s="69">
        <f>IF(LARGE($R$2:$R$25,21)&lt;1,0,LARGE($R$2:$R$25,21))</f>
        <v>0</v>
      </c>
      <c r="F96" s="70">
        <f t="shared" si="3"/>
        <v>0</v>
      </c>
      <c r="G96" s="68">
        <f t="shared" si="4"/>
        <v>0</v>
      </c>
      <c r="H96" s="71"/>
      <c r="I96" s="72" t="str">
        <f t="shared" si="5"/>
        <v/>
      </c>
      <c r="R96" s="45">
        <f t="shared" si="6"/>
        <v>0</v>
      </c>
      <c r="S96" s="45">
        <f t="shared" si="7"/>
        <v>0</v>
      </c>
      <c r="T96" s="73" t="str">
        <f t="shared" si="8"/>
        <v>0</v>
      </c>
    </row>
    <row r="97" spans="3:20" x14ac:dyDescent="0.25">
      <c r="C97" s="67">
        <f>IF(E97&lt;1,0,IF(INT(E97*100)=INT(E96*100),C96,22))</f>
        <v>0</v>
      </c>
      <c r="D97" s="68" t="str">
        <f>IF(OR(C97&lt;1,H97&lt;&gt;"",COUNTIF(T$76:T97,T97)&gt;3),"",VLOOKUP(C97-COUNTA(H$76:H97),DD!$E$24:$F$49,2))</f>
        <v/>
      </c>
      <c r="E97" s="69">
        <f>IF(LARGE($R$2:$R$25,22)&lt;1,0,LARGE($R$2:$R$25,22))</f>
        <v>0</v>
      </c>
      <c r="F97" s="70">
        <f t="shared" si="3"/>
        <v>0</v>
      </c>
      <c r="G97" s="68">
        <f t="shared" si="4"/>
        <v>0</v>
      </c>
      <c r="H97" s="71"/>
      <c r="I97" s="72" t="str">
        <f t="shared" si="5"/>
        <v/>
      </c>
      <c r="R97" s="45">
        <f t="shared" si="6"/>
        <v>0</v>
      </c>
      <c r="S97" s="45">
        <f t="shared" si="7"/>
        <v>0</v>
      </c>
      <c r="T97" s="73" t="str">
        <f t="shared" si="8"/>
        <v>0</v>
      </c>
    </row>
    <row r="98" spans="3:20" x14ac:dyDescent="0.25">
      <c r="C98" s="67">
        <f>IF(E98&lt;1,0,IF(INT(E98*100)=INT(E97*100),C97,23))</f>
        <v>0</v>
      </c>
      <c r="D98" s="68" t="str">
        <f>IF(OR(C98&lt;1,H98&lt;&gt;"",COUNTIF(T$76:T98,T98)&gt;3),"",VLOOKUP(C98-COUNTA(H$76:H98),DD!$E$24:$F$49,2))</f>
        <v/>
      </c>
      <c r="E98" s="69">
        <f>IF(LARGE($R$2:$R$25,23)&lt;1,0,LARGE($R$2:$R$25,23))</f>
        <v>0</v>
      </c>
      <c r="F98" s="70">
        <f t="shared" si="3"/>
        <v>0</v>
      </c>
      <c r="G98" s="68">
        <f t="shared" si="4"/>
        <v>0</v>
      </c>
      <c r="H98" s="71"/>
      <c r="I98" s="72" t="str">
        <f t="shared" si="5"/>
        <v/>
      </c>
      <c r="R98" s="45">
        <f t="shared" si="6"/>
        <v>0</v>
      </c>
      <c r="S98" s="45">
        <f t="shared" si="7"/>
        <v>0</v>
      </c>
      <c r="T98" s="73" t="str">
        <f t="shared" si="8"/>
        <v>0</v>
      </c>
    </row>
    <row r="99" spans="3:20" x14ac:dyDescent="0.25">
      <c r="C99" s="67">
        <f>IF(E99&lt;1,0,IF(INT(E99*100)=INT(E98*100),C98,24))</f>
        <v>0</v>
      </c>
      <c r="D99" s="68" t="str">
        <f>IF(OR(C99&lt;1,H99&lt;&gt;"",COUNTIF(T$76:T99,T99)&gt;3),"",VLOOKUP(C99-COUNTA(H$76:H99),DD!$E$24:$F$49,2))</f>
        <v/>
      </c>
      <c r="E99" s="69">
        <f>IF(LARGE($R$2:$R$25,24)&lt;1,0,LARGE($R$2:$R$25,24))</f>
        <v>0</v>
      </c>
      <c r="F99" s="70">
        <f t="shared" si="3"/>
        <v>0</v>
      </c>
      <c r="G99" s="68">
        <f t="shared" si="4"/>
        <v>0</v>
      </c>
      <c r="H99" s="71"/>
      <c r="I99" s="72" t="str">
        <f>IF(AND(C99=C98,C99&lt;&gt;0),"TIE","")</f>
        <v/>
      </c>
      <c r="R99" s="45">
        <f t="shared" si="6"/>
        <v>0</v>
      </c>
      <c r="S99" s="45">
        <f t="shared" si="7"/>
        <v>0</v>
      </c>
      <c r="T99" s="73" t="str">
        <f t="shared" si="8"/>
        <v>0</v>
      </c>
    </row>
    <row r="100" spans="3:20" x14ac:dyDescent="0.25">
      <c r="C100" s="74"/>
      <c r="D100" s="75"/>
      <c r="E100" s="76"/>
      <c r="F100" s="77"/>
      <c r="G100" s="75"/>
      <c r="H100" s="78"/>
      <c r="I100" s="79"/>
    </row>
  </sheetData>
  <sheetProtection sheet="1" objects="1" scenarios="1"/>
  <mergeCells count="72">
    <mergeCell ref="A2:A4"/>
    <mergeCell ref="B2:B4"/>
    <mergeCell ref="C2:C4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40"/>
    <mergeCell ref="B38:B40"/>
    <mergeCell ref="C38:C40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</mergeCells>
  <conditionalFormatting sqref="G3">
    <cfRule type="expression" dxfId="1251" priority="18">
      <formula>IF(SUM(G2:G3)&gt;3.7,1,0)</formula>
    </cfRule>
  </conditionalFormatting>
  <conditionalFormatting sqref="G2">
    <cfRule type="expression" dxfId="1250" priority="19">
      <formula>IF(SUM(G2:G3)&gt;3.7,1,0)</formula>
    </cfRule>
  </conditionalFormatting>
  <conditionalFormatting sqref="G6">
    <cfRule type="expression" dxfId="1247" priority="22">
      <formula>IF(SUM(G5:G6)&gt;3.7,1,0)</formula>
    </cfRule>
  </conditionalFormatting>
  <conditionalFormatting sqref="G5">
    <cfRule type="expression" dxfId="1246" priority="23">
      <formula>IF(SUM(G5:G6)&gt;3.7,1,0)</formula>
    </cfRule>
  </conditionalFormatting>
  <conditionalFormatting sqref="G9">
    <cfRule type="expression" dxfId="1243" priority="26">
      <formula>IF(SUM(G8:G9)&gt;3.7,1,0)</formula>
    </cfRule>
  </conditionalFormatting>
  <conditionalFormatting sqref="G8">
    <cfRule type="expression" dxfId="1242" priority="27">
      <formula>IF(SUM(G8:G9)&gt;3.7,1,0)</formula>
    </cfRule>
  </conditionalFormatting>
  <conditionalFormatting sqref="G12">
    <cfRule type="expression" dxfId="1239" priority="30">
      <formula>IF(SUM(G11:G12)&gt;3.7,1,0)</formula>
    </cfRule>
  </conditionalFormatting>
  <conditionalFormatting sqref="G11">
    <cfRule type="expression" dxfId="1238" priority="31">
      <formula>IF(SUM(G11:G12)&gt;3.7,1,0)</formula>
    </cfRule>
  </conditionalFormatting>
  <conditionalFormatting sqref="G15">
    <cfRule type="expression" dxfId="1235" priority="34">
      <formula>IF(SUM(G14:G15)&gt;3.7,1,0)</formula>
    </cfRule>
  </conditionalFormatting>
  <conditionalFormatting sqref="G14">
    <cfRule type="expression" dxfId="1234" priority="35">
      <formula>IF(SUM(G14:G15)&gt;3.7,1,0)</formula>
    </cfRule>
  </conditionalFormatting>
  <conditionalFormatting sqref="G18">
    <cfRule type="expression" dxfId="1231" priority="38">
      <formula>IF(SUM(G17:G18)&gt;3.7,1,0)</formula>
    </cfRule>
  </conditionalFormatting>
  <conditionalFormatting sqref="G17">
    <cfRule type="expression" dxfId="1230" priority="39">
      <formula>IF(SUM(G17:G18)&gt;3.7,1,0)</formula>
    </cfRule>
  </conditionalFormatting>
  <conditionalFormatting sqref="G21">
    <cfRule type="expression" dxfId="1227" priority="42">
      <formula>IF(SUM(G20:G21)&gt;3.7,1,0)</formula>
    </cfRule>
  </conditionalFormatting>
  <conditionalFormatting sqref="G20">
    <cfRule type="expression" dxfId="1226" priority="43">
      <formula>IF(SUM(G20:G21)&gt;3.7,1,0)</formula>
    </cfRule>
  </conditionalFormatting>
  <conditionalFormatting sqref="G24">
    <cfRule type="expression" dxfId="1223" priority="46">
      <formula>IF(SUM(G23:G24)&gt;3.7,1,0)</formula>
    </cfRule>
  </conditionalFormatting>
  <conditionalFormatting sqref="G23">
    <cfRule type="expression" dxfId="1222" priority="47">
      <formula>IF(SUM(G23:G24)&gt;3.7,1,0)</formula>
    </cfRule>
  </conditionalFormatting>
  <conditionalFormatting sqref="G27">
    <cfRule type="expression" dxfId="1219" priority="50">
      <formula>IF(SUM(G26:G27)&gt;3.7,1,0)</formula>
    </cfRule>
  </conditionalFormatting>
  <conditionalFormatting sqref="G26">
    <cfRule type="expression" dxfId="1218" priority="51">
      <formula>IF(SUM(G26:G27)&gt;3.7,1,0)</formula>
    </cfRule>
  </conditionalFormatting>
  <conditionalFormatting sqref="E27">
    <cfRule type="expression" dxfId="1217" priority="52">
      <formula>IF(E27="",0,IF(LEFT(E27,1)=LEFT(E26,1),1,0))</formula>
    </cfRule>
  </conditionalFormatting>
  <conditionalFormatting sqref="E28">
    <cfRule type="expression" dxfId="1216" priority="53">
      <formula>IF(E28="",0,IF(OR(LEFT(E28,LEN(E28)-1)=LEFT(E27,LEN(E27)-1),LEFT(E28,LEN(E28)-1)=LEFT(E26,LEN(E26)-1)),1,0))</formula>
    </cfRule>
  </conditionalFormatting>
  <conditionalFormatting sqref="G30">
    <cfRule type="expression" dxfId="1215" priority="54">
      <formula>IF(SUM(G29:G30)&gt;3.7,1,0)</formula>
    </cfRule>
  </conditionalFormatting>
  <conditionalFormatting sqref="G29">
    <cfRule type="expression" dxfId="1214" priority="55">
      <formula>IF(SUM(G29:G30)&gt;3.7,1,0)</formula>
    </cfRule>
  </conditionalFormatting>
  <conditionalFormatting sqref="E30">
    <cfRule type="expression" dxfId="1213" priority="56">
      <formula>IF(E30="",0,IF(LEFT(E30,1)=LEFT(E29,1),1,0))</formula>
    </cfRule>
  </conditionalFormatting>
  <conditionalFormatting sqref="E31">
    <cfRule type="expression" dxfId="1212" priority="57">
      <formula>IF(E31="",0,IF(OR(LEFT(E31,LEN(E31)-1)=LEFT(E30,LEN(E30)-1),LEFT(E31,LEN(E31)-1)=LEFT(E29,LEN(E29)-1)),1,0))</formula>
    </cfRule>
  </conditionalFormatting>
  <conditionalFormatting sqref="G33">
    <cfRule type="expression" dxfId="1211" priority="58">
      <formula>IF(SUM(G32:G33)&gt;3.7,1,0)</formula>
    </cfRule>
  </conditionalFormatting>
  <conditionalFormatting sqref="G32">
    <cfRule type="expression" dxfId="1210" priority="59">
      <formula>IF(SUM(G32:G33)&gt;3.7,1,0)</formula>
    </cfRule>
  </conditionalFormatting>
  <conditionalFormatting sqref="E33">
    <cfRule type="expression" dxfId="1209" priority="60">
      <formula>IF(E33="",0,IF(LEFT(E33,1)=LEFT(E32,1),1,0))</formula>
    </cfRule>
  </conditionalFormatting>
  <conditionalFormatting sqref="E34">
    <cfRule type="expression" dxfId="1208" priority="61">
      <formula>IF(E34="",0,IF(OR(LEFT(E34,LEN(E34)-1)=LEFT(E33,LEN(E33)-1),LEFT(E34,LEN(E34)-1)=LEFT(E32,LEN(E32)-1)),1,0))</formula>
    </cfRule>
  </conditionalFormatting>
  <conditionalFormatting sqref="G36">
    <cfRule type="expression" dxfId="1207" priority="62">
      <formula>IF(SUM(G35:G36)&gt;3.7,1,0)</formula>
    </cfRule>
  </conditionalFormatting>
  <conditionalFormatting sqref="G35">
    <cfRule type="expression" dxfId="1206" priority="63">
      <formula>IF(SUM(G35:G36)&gt;3.7,1,0)</formula>
    </cfRule>
  </conditionalFormatting>
  <conditionalFormatting sqref="E36">
    <cfRule type="expression" dxfId="1205" priority="64">
      <formula>IF(E36="",0,IF(LEFT(E36,1)=LEFT(E35,1),1,0))</formula>
    </cfRule>
  </conditionalFormatting>
  <conditionalFormatting sqref="E37">
    <cfRule type="expression" dxfId="1204" priority="65">
      <formula>IF(E37="",0,IF(OR(LEFT(E37,LEN(E37)-1)=LEFT(E36,LEN(E36)-1),LEFT(E37,LEN(E37)-1)=LEFT(E35,LEN(E35)-1)),1,0))</formula>
    </cfRule>
  </conditionalFormatting>
  <conditionalFormatting sqref="G39">
    <cfRule type="expression" dxfId="1203" priority="66">
      <formula>IF(SUM(G38:G39)&gt;3.7,1,0)</formula>
    </cfRule>
  </conditionalFormatting>
  <conditionalFormatting sqref="G38">
    <cfRule type="expression" dxfId="1202" priority="67">
      <formula>IF(SUM(G38:G39)&gt;3.7,1,0)</formula>
    </cfRule>
  </conditionalFormatting>
  <conditionalFormatting sqref="E39">
    <cfRule type="expression" dxfId="1201" priority="68">
      <formula>IF(E39="",0,IF(LEFT(E39,1)=LEFT(E38,1),1,0))</formula>
    </cfRule>
  </conditionalFormatting>
  <conditionalFormatting sqref="E40">
    <cfRule type="expression" dxfId="1200" priority="69">
      <formula>IF(E40="",0,IF(OR(LEFT(E40,LEN(E40)-1)=LEFT(E39,LEN(E39)-1),LEFT(E40,LEN(E40)-1)=LEFT(E38,LEN(E38)-1)),1,0))</formula>
    </cfRule>
  </conditionalFormatting>
  <conditionalFormatting sqref="G42">
    <cfRule type="expression" dxfId="1199" priority="70">
      <formula>IF(SUM(G41:G42)&gt;3.7,1,0)</formula>
    </cfRule>
  </conditionalFormatting>
  <conditionalFormatting sqref="G41">
    <cfRule type="expression" dxfId="1198" priority="71">
      <formula>IF(SUM(G41:G42)&gt;3.7,1,0)</formula>
    </cfRule>
  </conditionalFormatting>
  <conditionalFormatting sqref="E42">
    <cfRule type="expression" dxfId="1197" priority="72">
      <formula>IF(E42="",0,IF(LEFT(E42,1)=LEFT(E41,1),1,0))</formula>
    </cfRule>
  </conditionalFormatting>
  <conditionalFormatting sqref="E43">
    <cfRule type="expression" dxfId="1196" priority="73">
      <formula>IF(E43="",0,IF(OR(LEFT(E43,LEN(E43)-1)=LEFT(E42,LEN(E42)-1),LEFT(E43,LEN(E43)-1)=LEFT(E41,LEN(E41)-1)),1,0))</formula>
    </cfRule>
  </conditionalFormatting>
  <conditionalFormatting sqref="G45">
    <cfRule type="expression" dxfId="1195" priority="74">
      <formula>IF(SUM(G44:G45)&gt;3.7,1,0)</formula>
    </cfRule>
  </conditionalFormatting>
  <conditionalFormatting sqref="G44">
    <cfRule type="expression" dxfId="1194" priority="75">
      <formula>IF(SUM(G44:G45)&gt;3.7,1,0)</formula>
    </cfRule>
  </conditionalFormatting>
  <conditionalFormatting sqref="E45">
    <cfRule type="expression" dxfId="1193" priority="76">
      <formula>IF(E45="",0,IF(LEFT(E45,1)=LEFT(E44,1),1,0))</formula>
    </cfRule>
  </conditionalFormatting>
  <conditionalFormatting sqref="E46">
    <cfRule type="expression" dxfId="1192" priority="77">
      <formula>IF(E46="",0,IF(OR(LEFT(E46,LEN(E46)-1)=LEFT(E45,LEN(E45)-1),LEFT(E46,LEN(E46)-1)=LEFT(E44,LEN(E44)-1)),1,0))</formula>
    </cfRule>
  </conditionalFormatting>
  <conditionalFormatting sqref="G48">
    <cfRule type="expression" dxfId="1191" priority="78">
      <formula>IF(SUM(G47:G48)&gt;3.7,1,0)</formula>
    </cfRule>
  </conditionalFormatting>
  <conditionalFormatting sqref="G47">
    <cfRule type="expression" dxfId="1190" priority="79">
      <formula>IF(SUM(G47:G48)&gt;3.7,1,0)</formula>
    </cfRule>
  </conditionalFormatting>
  <conditionalFormatting sqref="E48">
    <cfRule type="expression" dxfId="1189" priority="80">
      <formula>IF(E48="",0,IF(LEFT(E48,1)=LEFT(E47,1),1,0))</formula>
    </cfRule>
  </conditionalFormatting>
  <conditionalFormatting sqref="E49">
    <cfRule type="expression" dxfId="1188" priority="81">
      <formula>IF(E49="",0,IF(OR(LEFT(E49,LEN(E49)-1)=LEFT(E48,LEN(E48)-1),LEFT(E49,LEN(E49)-1)=LEFT(E47,LEN(E47)-1)),1,0))</formula>
    </cfRule>
  </conditionalFormatting>
  <conditionalFormatting sqref="G51">
    <cfRule type="expression" dxfId="1187" priority="82">
      <formula>IF(SUM(G50:G51)&gt;3.7,1,0)</formula>
    </cfRule>
  </conditionalFormatting>
  <conditionalFormatting sqref="G50">
    <cfRule type="expression" dxfId="1186" priority="83">
      <formula>IF(SUM(G50:G51)&gt;3.7,1,0)</formula>
    </cfRule>
  </conditionalFormatting>
  <conditionalFormatting sqref="E51">
    <cfRule type="expression" dxfId="1185" priority="84">
      <formula>IF(E51="",0,IF(LEFT(E51,1)=LEFT(E50,1),1,0))</formula>
    </cfRule>
  </conditionalFormatting>
  <conditionalFormatting sqref="E52">
    <cfRule type="expression" dxfId="1184" priority="85">
      <formula>IF(E52="",0,IF(OR(LEFT(E52,LEN(E52)-1)=LEFT(E51,LEN(E51)-1),LEFT(E52,LEN(E52)-1)=LEFT(E50,LEN(E50)-1)),1,0))</formula>
    </cfRule>
  </conditionalFormatting>
  <conditionalFormatting sqref="G54">
    <cfRule type="expression" dxfId="1183" priority="86">
      <formula>IF(SUM(G53:G54)&gt;3.7,1,0)</formula>
    </cfRule>
  </conditionalFormatting>
  <conditionalFormatting sqref="G53">
    <cfRule type="expression" dxfId="1182" priority="87">
      <formula>IF(SUM(G53:G54)&gt;3.7,1,0)</formula>
    </cfRule>
  </conditionalFormatting>
  <conditionalFormatting sqref="E54">
    <cfRule type="expression" dxfId="1181" priority="88">
      <formula>IF(E54="",0,IF(LEFT(E54,1)=LEFT(E53,1),1,0))</formula>
    </cfRule>
  </conditionalFormatting>
  <conditionalFormatting sqref="E55">
    <cfRule type="expression" dxfId="1180" priority="89">
      <formula>IF(E55="",0,IF(OR(LEFT(E55,LEN(E55)-1)=LEFT(E54,LEN(E54)-1),LEFT(E55,LEN(E55)-1)=LEFT(E53,LEN(E53)-1)),1,0))</formula>
    </cfRule>
  </conditionalFormatting>
  <conditionalFormatting sqref="G57">
    <cfRule type="expression" dxfId="1179" priority="90">
      <formula>IF(SUM(G56:G57)&gt;3.7,1,0)</formula>
    </cfRule>
  </conditionalFormatting>
  <conditionalFormatting sqref="G56">
    <cfRule type="expression" dxfId="1178" priority="91">
      <formula>IF(SUM(G56:G57)&gt;3.7,1,0)</formula>
    </cfRule>
  </conditionalFormatting>
  <conditionalFormatting sqref="E57">
    <cfRule type="expression" dxfId="1177" priority="92">
      <formula>IF(E57="",0,IF(LEFT(E57,1)=LEFT(E56,1),1,0))</formula>
    </cfRule>
  </conditionalFormatting>
  <conditionalFormatting sqref="E58">
    <cfRule type="expression" dxfId="1176" priority="93">
      <formula>IF(E58="",0,IF(OR(LEFT(E58,LEN(E58)-1)=LEFT(E57,LEN(E57)-1),LEFT(E58,LEN(E58)-1)=LEFT(E56,LEN(E56)-1)),1,0))</formula>
    </cfRule>
  </conditionalFormatting>
  <conditionalFormatting sqref="G60">
    <cfRule type="expression" dxfId="1175" priority="94">
      <formula>IF(SUM(G59:G60)&gt;3.7,1,0)</formula>
    </cfRule>
  </conditionalFormatting>
  <conditionalFormatting sqref="G59">
    <cfRule type="expression" dxfId="1174" priority="95">
      <formula>IF(SUM(G59:G60)&gt;3.7,1,0)</formula>
    </cfRule>
  </conditionalFormatting>
  <conditionalFormatting sqref="E60">
    <cfRule type="expression" dxfId="1173" priority="96">
      <formula>IF(E60="",0,IF(LEFT(E60,1)=LEFT(E59,1),1,0))</formula>
    </cfRule>
  </conditionalFormatting>
  <conditionalFormatting sqref="E61">
    <cfRule type="expression" dxfId="1172" priority="97">
      <formula>IF(E61="",0,IF(OR(LEFT(E61,LEN(E61)-1)=LEFT(E60,LEN(E60)-1),LEFT(E61,LEN(E61)-1)=LEFT(E59,LEN(E59)-1)),1,0))</formula>
    </cfRule>
  </conditionalFormatting>
  <conditionalFormatting sqref="G63">
    <cfRule type="expression" dxfId="1171" priority="98">
      <formula>IF(SUM(G62:G63)&gt;3.7,1,0)</formula>
    </cfRule>
  </conditionalFormatting>
  <conditionalFormatting sqref="G62">
    <cfRule type="expression" dxfId="1170" priority="99">
      <formula>IF(SUM(G62:G63)&gt;3.7,1,0)</formula>
    </cfRule>
  </conditionalFormatting>
  <conditionalFormatting sqref="E63">
    <cfRule type="expression" dxfId="1169" priority="100">
      <formula>IF(E63="",0,IF(LEFT(E63,1)=LEFT(E62,1),1,0))</formula>
    </cfRule>
  </conditionalFormatting>
  <conditionalFormatting sqref="E64">
    <cfRule type="expression" dxfId="1168" priority="101">
      <formula>IF(E64="",0,IF(OR(LEFT(E64,LEN(E64)-1)=LEFT(E63,LEN(E63)-1),LEFT(E64,LEN(E64)-1)=LEFT(E62,LEN(E62)-1)),1,0))</formula>
    </cfRule>
  </conditionalFormatting>
  <conditionalFormatting sqref="G66">
    <cfRule type="expression" dxfId="1167" priority="102">
      <formula>IF(SUM(G65:G66)&gt;3.7,1,0)</formula>
    </cfRule>
  </conditionalFormatting>
  <conditionalFormatting sqref="G65">
    <cfRule type="expression" dxfId="1166" priority="103">
      <formula>IF(SUM(G65:G66)&gt;3.7,1,0)</formula>
    </cfRule>
  </conditionalFormatting>
  <conditionalFormatting sqref="E66">
    <cfRule type="expression" dxfId="1165" priority="104">
      <formula>IF(E66="",0,IF(LEFT(E66,1)=LEFT(E65,1),1,0))</formula>
    </cfRule>
  </conditionalFormatting>
  <conditionalFormatting sqref="E67">
    <cfRule type="expression" dxfId="1164" priority="105">
      <formula>IF(E67="",0,IF(OR(LEFT(E67,LEN(E67)-1)=LEFT(E66,LEN(E66)-1),LEFT(E67,LEN(E67)-1)=LEFT(E65,LEN(E65)-1)),1,0))</formula>
    </cfRule>
  </conditionalFormatting>
  <conditionalFormatting sqref="G69">
    <cfRule type="expression" dxfId="1163" priority="106">
      <formula>IF(SUM(G68:G69)&gt;3.7,1,0)</formula>
    </cfRule>
  </conditionalFormatting>
  <conditionalFormatting sqref="G68">
    <cfRule type="expression" dxfId="1162" priority="107">
      <formula>IF(SUM(G68:G69)&gt;3.7,1,0)</formula>
    </cfRule>
  </conditionalFormatting>
  <conditionalFormatting sqref="E69">
    <cfRule type="expression" dxfId="1161" priority="108">
      <formula>IF(E69="",0,IF(LEFT(E69,1)=LEFT(E68,1),1,0))</formula>
    </cfRule>
  </conditionalFormatting>
  <conditionalFormatting sqref="E70">
    <cfRule type="expression" dxfId="1160" priority="109">
      <formula>IF(E70="",0,IF(OR(LEFT(E70,LEN(E70)-1)=LEFT(E69,LEN(E69)-1),LEFT(E70,LEN(E70)-1)=LEFT(E68,LEN(E68)-1)),1,0))</formula>
    </cfRule>
  </conditionalFormatting>
  <conditionalFormatting sqref="G72">
    <cfRule type="expression" dxfId="1159" priority="110">
      <formula>IF(SUM(G71:G72)&gt;3.7,1,0)</formula>
    </cfRule>
  </conditionalFormatting>
  <conditionalFormatting sqref="G71">
    <cfRule type="expression" dxfId="1158" priority="111">
      <formula>IF(SUM(G71:G72)&gt;3.7,1,0)</formula>
    </cfRule>
  </conditionalFormatting>
  <conditionalFormatting sqref="E72">
    <cfRule type="expression" dxfId="1157" priority="112">
      <formula>IF(E72="",0,IF(LEFT(E72,1)=LEFT(E71,1),1,0))</formula>
    </cfRule>
  </conditionalFormatting>
  <conditionalFormatting sqref="E73">
    <cfRule type="expression" dxfId="1156" priority="113">
      <formula>IF(E73="",0,IF(OR(LEFT(E73,LEN(E73)-1)=LEFT(E72,LEN(E72)-1),LEFT(E73,LEN(E73)-1)=LEFT(E71,LEN(E71)-1)),1,0))</formula>
    </cfRule>
  </conditionalFormatting>
  <conditionalFormatting sqref="E3">
    <cfRule type="expression" dxfId="339" priority="16">
      <formula>IF(E3="",FALSE,IF(LEFT(E3,1)=LEFT(E2,1),TRUE,FALSE))</formula>
    </cfRule>
  </conditionalFormatting>
  <conditionalFormatting sqref="E4">
    <cfRule type="expression" dxfId="337" priority="15">
      <formula>IF(E4="",FALSE,IF(OR(LEFT(E4,LEN(E4)-1)=LEFT(E3,LEN(E3)-1),LEFT(E4,LEN(E4)-1)=LEFT(E2,LEN(E2)-1)),TRUE,FALSE))</formula>
    </cfRule>
  </conditionalFormatting>
  <conditionalFormatting sqref="E6">
    <cfRule type="expression" dxfId="335" priority="14">
      <formula>IF(E6="",FALSE,IF(LEFT(E6,1)=LEFT(E5,1),TRUE,FALSE))</formula>
    </cfRule>
  </conditionalFormatting>
  <conditionalFormatting sqref="E7">
    <cfRule type="expression" dxfId="333" priority="13">
      <formula>IF(E7="",FALSE,IF(OR(LEFT(E7,LEN(E7)-1)=LEFT(E6,LEN(E6)-1),LEFT(E7,LEN(E7)-1)=LEFT(E5,LEN(E5)-1)),TRUE,FALSE))</formula>
    </cfRule>
  </conditionalFormatting>
  <conditionalFormatting sqref="E9">
    <cfRule type="expression" dxfId="331" priority="12">
      <formula>IF(E9="",FALSE,IF(LEFT(E9,1)=LEFT(E8,1),TRUE,FALSE))</formula>
    </cfRule>
  </conditionalFormatting>
  <conditionalFormatting sqref="E10">
    <cfRule type="expression" dxfId="329" priority="11">
      <formula>IF(E10="",FALSE,IF(OR(LEFT(E10,LEN(E10)-1)=LEFT(E9,LEN(E9)-1),LEFT(E10,LEN(E10)-1)=LEFT(E8,LEN(E8)-1)),TRUE,FALSE))</formula>
    </cfRule>
  </conditionalFormatting>
  <conditionalFormatting sqref="E12">
    <cfRule type="expression" dxfId="327" priority="10">
      <formula>IF(E12="",FALSE,IF(LEFT(E12,1)=LEFT(E11,1),TRUE,FALSE))</formula>
    </cfRule>
  </conditionalFormatting>
  <conditionalFormatting sqref="E13">
    <cfRule type="expression" dxfId="325" priority="9">
      <formula>IF(E13="",FALSE,IF(OR(LEFT(E13,LEN(E13)-1)=LEFT(E12,LEN(E12)-1),LEFT(E13,LEN(E13)-1)=LEFT(E11,LEN(E11)-1)),TRUE,FALSE))</formula>
    </cfRule>
  </conditionalFormatting>
  <conditionalFormatting sqref="E15">
    <cfRule type="expression" dxfId="323" priority="8">
      <formula>IF(E15="",FALSE,IF(LEFT(E15,1)=LEFT(E14,1),TRUE,FALSE))</formula>
    </cfRule>
  </conditionalFormatting>
  <conditionalFormatting sqref="E16">
    <cfRule type="expression" dxfId="321" priority="7">
      <formula>IF(E16="",FALSE,IF(OR(LEFT(E16,LEN(E16)-1)=LEFT(E15,LEN(E15)-1),LEFT(E16,LEN(E16)-1)=LEFT(E14,LEN(E14)-1)),TRUE,FALSE))</formula>
    </cfRule>
  </conditionalFormatting>
  <conditionalFormatting sqref="E18">
    <cfRule type="expression" dxfId="319" priority="6">
      <formula>IF(E18="",FALSE,IF(LEFT(E18,1)=LEFT(E17,1),TRUE,FALSE))</formula>
    </cfRule>
  </conditionalFormatting>
  <conditionalFormatting sqref="E19">
    <cfRule type="expression" dxfId="317" priority="5">
      <formula>IF(E19="",FALSE,IF(OR(LEFT(E19,LEN(E19)-1)=LEFT(E18,LEN(E18)-1),LEFT(E19,LEN(E19)-1)=LEFT(E17,LEN(E17)-1)),TRUE,FALSE))</formula>
    </cfRule>
  </conditionalFormatting>
  <conditionalFormatting sqref="E21">
    <cfRule type="expression" dxfId="315" priority="4">
      <formula>IF(E21="",FALSE,IF(LEFT(E21,1)=LEFT(E20,1),TRUE,FALSE))</formula>
    </cfRule>
  </conditionalFormatting>
  <conditionalFormatting sqref="E22">
    <cfRule type="expression" dxfId="313" priority="3">
      <formula>IF(E22="",FALSE,IF(OR(LEFT(E22,LEN(E22)-1)=LEFT(E21,LEN(E21)-1),LEFT(E22,LEN(E22)-1)=LEFT(E20,LEN(E20)-1)),TRUE,FALSE))</formula>
    </cfRule>
  </conditionalFormatting>
  <conditionalFormatting sqref="E24">
    <cfRule type="expression" dxfId="311" priority="2">
      <formula>IF(E24="",FALSE,IF(LEFT(E24,1)=LEFT(E23,1),TRUE,FALSE))</formula>
    </cfRule>
  </conditionalFormatting>
  <conditionalFormatting sqref="E25">
    <cfRule type="expression" dxfId="309" priority="1">
      <formula>IF(E25="",FALSE,IF(OR(LEFT(E25,LEN(E25)-1)=LEFT(E24,LEN(E24)-1),LEFT(E25,LEN(E25)-1)=LEFT(E23,LEN(E23)-1)),TRUE,FALSE))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C2:C73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4"/>
  <sheetViews>
    <sheetView zoomScaleNormal="100" workbookViewId="0">
      <pane ySplit="1" topLeftCell="A101" activePane="bottomLeft" state="frozen"/>
      <selection activeCell="D1" sqref="D1"/>
      <selection pane="bottomLeft" activeCell="H30" sqref="H30:L33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7.8554687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3.7109375" style="45" hidden="1" customWidth="1"/>
    <col min="20" max="20" width="12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x14ac:dyDescent="0.25">
      <c r="A2" s="97">
        <v>1</v>
      </c>
      <c r="B2" s="107" t="s">
        <v>140</v>
      </c>
      <c r="C2" s="106" t="s">
        <v>4</v>
      </c>
      <c r="D2" s="46">
        <v>1</v>
      </c>
      <c r="E2" s="50" t="s">
        <v>138</v>
      </c>
      <c r="F2" s="45" t="str">
        <f>IF($E2="","",IF(ISNA(VLOOKUP($E2,DD!$A$2:$C$150,2,0)),"NO SUCH DIVE",VLOOKUP($E2,DD!$A$2:$C$150,2,0)))</f>
        <v>Front dive pike</v>
      </c>
      <c r="G2" s="51">
        <f>IF($E2="","",IF(ISNA(VLOOKUP($E2,DD!$A$2:$C$150,3,0)),"",VLOOKUP($E2,DD!$A$2:$C$150,3,0)))</f>
        <v>1.3</v>
      </c>
      <c r="H2" s="52">
        <v>5.5</v>
      </c>
      <c r="I2" s="52">
        <v>3.5</v>
      </c>
      <c r="J2" s="52">
        <v>5.5</v>
      </c>
      <c r="K2" s="52">
        <v>5</v>
      </c>
      <c r="L2" s="52">
        <v>5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20.150000000000002</v>
      </c>
      <c r="O2" s="45">
        <f>IF(N2="","",N2)</f>
        <v>20.150000000000002</v>
      </c>
      <c r="R2" s="53">
        <f>O5+0.000001</f>
        <v>83.150000999999989</v>
      </c>
      <c r="S2" s="53" t="str">
        <f>B2</f>
        <v>Verona Huber-Chois</v>
      </c>
      <c r="T2" s="53" t="str">
        <f>C2</f>
        <v>Side</v>
      </c>
    </row>
    <row r="3" spans="1:20" x14ac:dyDescent="0.25">
      <c r="A3" s="97"/>
      <c r="B3" s="107"/>
      <c r="C3" s="106"/>
      <c r="D3" s="46">
        <v>2</v>
      </c>
      <c r="E3" s="50" t="s">
        <v>58</v>
      </c>
      <c r="F3" s="45" t="str">
        <f>IF($E3="","",IF(ISNA(VLOOKUP($E3,DD!$A$2:$C$150,2,0)),"NO SUCH DIVE",VLOOKUP($E3,DD!$A$2:$C$150,2,0)))</f>
        <v>Back dive layout</v>
      </c>
      <c r="G3" s="51">
        <f>IF($E3="","",IF(ISNA(VLOOKUP($E3,DD!$A$2:$C$150,3,0)),"",VLOOKUP($E3,DD!$A$2:$C$150,3,0)))</f>
        <v>1.4</v>
      </c>
      <c r="H3" s="52">
        <v>5.5</v>
      </c>
      <c r="I3" s="52">
        <v>5.5</v>
      </c>
      <c r="J3" s="52">
        <v>5</v>
      </c>
      <c r="K3" s="52">
        <v>5</v>
      </c>
      <c r="L3" s="52">
        <v>5</v>
      </c>
      <c r="M3" s="50"/>
      <c r="N3" s="45">
        <f t="shared" si="0"/>
        <v>21.7</v>
      </c>
      <c r="O3" s="45">
        <f>IF(N3="","",N3+O2)</f>
        <v>41.85</v>
      </c>
      <c r="R3" s="53">
        <f>O9+0.000002</f>
        <v>95.400002000000001</v>
      </c>
      <c r="S3" s="53" t="str">
        <f>B6</f>
        <v>Alyssa Ross</v>
      </c>
      <c r="T3" s="53" t="str">
        <f>C6</f>
        <v>VIK</v>
      </c>
    </row>
    <row r="4" spans="1:20" x14ac:dyDescent="0.25">
      <c r="A4" s="97"/>
      <c r="B4" s="107"/>
      <c r="C4" s="106"/>
      <c r="D4" s="46">
        <v>3</v>
      </c>
      <c r="E4" s="62" t="s">
        <v>64</v>
      </c>
      <c r="F4" s="45" t="str">
        <f>IF($E4="","",IF(ISNA(VLOOKUP($E4,DD!$A$2:$C$150,2,0)),"NO SUCH DIVE",VLOOKUP($E4,DD!$A$2:$C$150,2,0)))</f>
        <v>Back dive ½ twist layout</v>
      </c>
      <c r="G4" s="46">
        <f>IF($E4="","",IF(ISNA(VLOOKUP($E4,DD!$A$2:$C$150,3,0)),"",VLOOKUP($E4,DD!$A$2:$C$150,3,0)))</f>
        <v>1.4</v>
      </c>
      <c r="H4" s="52">
        <v>4</v>
      </c>
      <c r="I4" s="52">
        <v>4.5</v>
      </c>
      <c r="J4" s="52">
        <v>4.5</v>
      </c>
      <c r="K4" s="52">
        <v>4</v>
      </c>
      <c r="L4" s="52">
        <v>4.5</v>
      </c>
      <c r="M4" s="50"/>
      <c r="N4" s="45">
        <f t="shared" si="0"/>
        <v>18.2</v>
      </c>
      <c r="O4" s="45">
        <f>IF(N4="","",N4+O3)</f>
        <v>60.05</v>
      </c>
      <c r="R4" s="53">
        <f>O13+0.000003</f>
        <v>106.850003</v>
      </c>
      <c r="S4" s="53" t="str">
        <f>B10</f>
        <v>Annabelle Hillier</v>
      </c>
      <c r="T4" s="53" t="str">
        <f>C10</f>
        <v>Cedar</v>
      </c>
    </row>
    <row r="5" spans="1:20" x14ac:dyDescent="0.25">
      <c r="A5" s="97"/>
      <c r="B5" s="107"/>
      <c r="C5" s="106"/>
      <c r="D5" s="46">
        <v>4</v>
      </c>
      <c r="E5" s="50" t="s">
        <v>72</v>
      </c>
      <c r="F5" s="45" t="str">
        <f>IF($E5="","",IF(ISNA(VLOOKUP($E5,DD!$A$2:$C$150,2,0)),"NO SUCH DIVE",VLOOKUP($E5,DD!$A$2:$C$150,2,0)))</f>
        <v>Front somersault tuck</v>
      </c>
      <c r="G5" s="46">
        <f>IF($E5="","",IF(ISNA(VLOOKUP($E5,DD!$A$2:$C$150,3,0)),"",VLOOKUP($E5,DD!$A$2:$C$150,3,0)))</f>
        <v>1.4</v>
      </c>
      <c r="H5" s="52">
        <v>5</v>
      </c>
      <c r="I5" s="52">
        <v>5.5</v>
      </c>
      <c r="J5" s="52">
        <v>5</v>
      </c>
      <c r="K5" s="52">
        <v>6</v>
      </c>
      <c r="L5" s="52">
        <v>7</v>
      </c>
      <c r="M5" s="50"/>
      <c r="N5" s="45">
        <f t="shared" si="0"/>
        <v>23.099999999999998</v>
      </c>
      <c r="O5" s="54">
        <f>IF(N5="",0,N5+O4)</f>
        <v>83.149999999999991</v>
      </c>
      <c r="R5" s="53">
        <f>O17+0.000004</f>
        <v>75.15000400000001</v>
      </c>
      <c r="S5" s="53" t="str">
        <f>B14</f>
        <v>Tess Szekula</v>
      </c>
      <c r="T5" s="53" t="str">
        <f>C14</f>
        <v>Val</v>
      </c>
    </row>
    <row r="6" spans="1:20" ht="15" customHeight="1" x14ac:dyDescent="0.25">
      <c r="A6" s="100">
        <v>2</v>
      </c>
      <c r="B6" s="101" t="s">
        <v>109</v>
      </c>
      <c r="C6" s="102" t="s">
        <v>60</v>
      </c>
      <c r="D6" s="55">
        <v>1</v>
      </c>
      <c r="E6" s="56" t="s">
        <v>89</v>
      </c>
      <c r="F6" s="57" t="str">
        <f>IF($E6="","",IF(ISNA(VLOOKUP($E6,DD!$A$2:$C$150,2,0)),"NO SUCH DIVE",VLOOKUP($E6,DD!$A$2:$C$150,2,0)))</f>
        <v>Front dive tuck</v>
      </c>
      <c r="G6" s="58">
        <f>IF($E6="","",IF(ISNA(VLOOKUP($E6,DD!$A$2:$C$150,3,0)),"",VLOOKUP($E6,DD!$A$2:$C$150,3,0)))</f>
        <v>1.3</v>
      </c>
      <c r="H6" s="59">
        <v>6</v>
      </c>
      <c r="I6" s="59">
        <v>6.5</v>
      </c>
      <c r="J6" s="59">
        <v>5.5</v>
      </c>
      <c r="K6" s="59">
        <v>6.5</v>
      </c>
      <c r="L6" s="59">
        <v>6.5</v>
      </c>
      <c r="M6" s="56"/>
      <c r="N6" s="57">
        <f t="shared" si="0"/>
        <v>24.7</v>
      </c>
      <c r="O6" s="57">
        <f>IF(N6="","",N6)</f>
        <v>24.7</v>
      </c>
      <c r="R6" s="53">
        <f>O21+0.000005</f>
        <v>58.750005000000002</v>
      </c>
      <c r="S6" s="53" t="str">
        <f>B18</f>
        <v>Emily Roy</v>
      </c>
      <c r="T6" s="53" t="str">
        <f>C18</f>
        <v>HCP</v>
      </c>
    </row>
    <row r="7" spans="1:20" x14ac:dyDescent="0.25">
      <c r="A7" s="100"/>
      <c r="B7" s="101"/>
      <c r="C7" s="102"/>
      <c r="D7" s="55">
        <v>2</v>
      </c>
      <c r="E7" s="56" t="s">
        <v>58</v>
      </c>
      <c r="F7" s="57" t="str">
        <f>IF($E7="","",IF(ISNA(VLOOKUP($E7,DD!$A$2:$C$150,2,0)),"NO SUCH DIVE",VLOOKUP($E7,DD!$A$2:$C$150,2,0)))</f>
        <v>Back dive layout</v>
      </c>
      <c r="G7" s="58">
        <f>IF($E7="","",IF(ISNA(VLOOKUP($E7,DD!$A$2:$C$150,3,0)),"",VLOOKUP($E7,DD!$A$2:$C$150,3,0)))</f>
        <v>1.4</v>
      </c>
      <c r="H7" s="59">
        <v>8</v>
      </c>
      <c r="I7" s="59">
        <v>7</v>
      </c>
      <c r="J7" s="59">
        <v>6</v>
      </c>
      <c r="K7" s="59">
        <v>6</v>
      </c>
      <c r="L7" s="59">
        <v>7</v>
      </c>
      <c r="M7" s="56"/>
      <c r="N7" s="57">
        <f t="shared" si="0"/>
        <v>28</v>
      </c>
      <c r="O7" s="57">
        <f>IF(N7="","",N7+O6)</f>
        <v>52.7</v>
      </c>
      <c r="R7" s="53">
        <f>O25+0.000006</f>
        <v>92.950006000000002</v>
      </c>
      <c r="S7" s="53" t="str">
        <f>B22</f>
        <v>Eve Vigneault</v>
      </c>
      <c r="T7" s="53" t="str">
        <f>C22</f>
        <v>WLRC</v>
      </c>
    </row>
    <row r="8" spans="1:20" x14ac:dyDescent="0.25">
      <c r="A8" s="100"/>
      <c r="B8" s="101"/>
      <c r="C8" s="102"/>
      <c r="D8" s="55">
        <v>3</v>
      </c>
      <c r="E8" s="56" t="s">
        <v>72</v>
      </c>
      <c r="F8" s="57" t="str">
        <f>IF($E8="","",IF(ISNA(VLOOKUP($E8,DD!$A$2:$C$150,2,0)),"NO SUCH DIVE",VLOOKUP($E8,DD!$A$2:$C$150,2,0)))</f>
        <v>Front somersault tuck</v>
      </c>
      <c r="G8" s="55">
        <f>IF($E8="","",IF(ISNA(VLOOKUP($E8,DD!$A$2:$C$150,3,0)),"",VLOOKUP($E8,DD!$A$2:$C$150,3,0)))</f>
        <v>1.4</v>
      </c>
      <c r="H8" s="59">
        <v>4.5</v>
      </c>
      <c r="I8" s="59">
        <v>4.5</v>
      </c>
      <c r="J8" s="59">
        <v>5.5</v>
      </c>
      <c r="K8" s="59">
        <v>4.5</v>
      </c>
      <c r="L8" s="59">
        <v>5.5</v>
      </c>
      <c r="M8" s="56"/>
      <c r="N8" s="57">
        <f t="shared" si="0"/>
        <v>20.299999999999997</v>
      </c>
      <c r="O8" s="57">
        <f>IF(N8="","",N8+O7)</f>
        <v>73</v>
      </c>
      <c r="R8" s="53">
        <f>O29+0.000007</f>
        <v>85.450006999999985</v>
      </c>
      <c r="S8" s="53" t="str">
        <f>B26</f>
        <v>Gabby Esposito</v>
      </c>
      <c r="T8" s="53" t="str">
        <f>C26</f>
        <v>Val</v>
      </c>
    </row>
    <row r="9" spans="1:20" x14ac:dyDescent="0.25">
      <c r="A9" s="100"/>
      <c r="B9" s="101"/>
      <c r="C9" s="102"/>
      <c r="D9" s="55">
        <v>4</v>
      </c>
      <c r="E9" s="56" t="s">
        <v>64</v>
      </c>
      <c r="F9" s="57" t="str">
        <f>IF($E9="","",IF(ISNA(VLOOKUP($E9,DD!$A$2:$C$150,2,0)),"NO SUCH DIVE",VLOOKUP($E9,DD!$A$2:$C$150,2,0)))</f>
        <v>Back dive ½ twist layout</v>
      </c>
      <c r="G9" s="55">
        <f>IF($E9="","",IF(ISNA(VLOOKUP($E9,DD!$A$2:$C$150,3,0)),"",VLOOKUP($E9,DD!$A$2:$C$150,3,0)))</f>
        <v>1.4</v>
      </c>
      <c r="H9" s="59">
        <v>5.5</v>
      </c>
      <c r="I9" s="59">
        <v>5</v>
      </c>
      <c r="J9" s="59">
        <v>5</v>
      </c>
      <c r="K9" s="59">
        <v>5.5</v>
      </c>
      <c r="L9" s="59">
        <v>6</v>
      </c>
      <c r="M9" s="56"/>
      <c r="N9" s="57">
        <f t="shared" si="0"/>
        <v>22.4</v>
      </c>
      <c r="O9" s="60">
        <f>IF(N9="",0,N9+O8)</f>
        <v>95.4</v>
      </c>
      <c r="R9" s="53">
        <f>O33+0.000008</f>
        <v>87.400008</v>
      </c>
      <c r="S9" s="53" t="str">
        <f>B30</f>
        <v>Evelyne De Sales-Laterriere</v>
      </c>
      <c r="T9" s="53" t="str">
        <f>C30</f>
        <v>Side</v>
      </c>
    </row>
    <row r="10" spans="1:20" ht="15" customHeight="1" x14ac:dyDescent="0.25">
      <c r="A10" s="97">
        <v>3</v>
      </c>
      <c r="B10" s="107" t="s">
        <v>110</v>
      </c>
      <c r="C10" s="106" t="s">
        <v>57</v>
      </c>
      <c r="D10" s="46">
        <v>1</v>
      </c>
      <c r="E10" s="50" t="s">
        <v>89</v>
      </c>
      <c r="F10" s="45" t="str">
        <f>IF($E10="","",IF(ISNA(VLOOKUP($E10,DD!$A$2:$C$150,2,0)),"NO SUCH DIVE",VLOOKUP($E10,DD!$A$2:$C$150,2,0)))</f>
        <v>Front dive tuck</v>
      </c>
      <c r="G10" s="51">
        <f>IF($E10="","",IF(ISNA(VLOOKUP($E10,DD!$A$2:$C$150,3,0)),"",VLOOKUP($E10,DD!$A$2:$C$150,3,0)))</f>
        <v>1.3</v>
      </c>
      <c r="H10" s="52">
        <v>5.5</v>
      </c>
      <c r="I10" s="52">
        <v>6.5</v>
      </c>
      <c r="J10" s="52">
        <v>5.5</v>
      </c>
      <c r="K10" s="52">
        <v>6</v>
      </c>
      <c r="L10" s="52">
        <v>5.5</v>
      </c>
      <c r="M10" s="50"/>
      <c r="N10" s="45">
        <f t="shared" si="0"/>
        <v>22.1</v>
      </c>
      <c r="O10" s="45">
        <f>IF(N10="","",N10)</f>
        <v>22.1</v>
      </c>
      <c r="R10" s="53">
        <f>O37+0.000009</f>
        <v>9.0000000000000002E-6</v>
      </c>
      <c r="S10" s="53">
        <f>B34</f>
        <v>0</v>
      </c>
      <c r="T10" s="53">
        <f>C34</f>
        <v>0</v>
      </c>
    </row>
    <row r="11" spans="1:20" x14ac:dyDescent="0.25">
      <c r="A11" s="97"/>
      <c r="B11" s="107"/>
      <c r="C11" s="106"/>
      <c r="D11" s="46">
        <v>2</v>
      </c>
      <c r="E11" s="50" t="s">
        <v>111</v>
      </c>
      <c r="F11" s="45" t="str">
        <f>IF($E11="","",IF(ISNA(VLOOKUP($E11,DD!$A$2:$C$150,2,0)),"NO SUCH DIVE",VLOOKUP($E11,DD!$A$2:$C$150,2,0)))</f>
        <v>Back dive tuck</v>
      </c>
      <c r="G11" s="51">
        <f>IF($E11="","",IF(ISNA(VLOOKUP($E11,DD!$A$2:$C$150,3,0)),"",VLOOKUP($E11,DD!$A$2:$C$150,3,0)))</f>
        <v>1.6</v>
      </c>
      <c r="H11" s="52">
        <v>8.5</v>
      </c>
      <c r="I11" s="52">
        <v>8.5</v>
      </c>
      <c r="J11" s="52">
        <v>7.5</v>
      </c>
      <c r="K11" s="52">
        <v>7.5</v>
      </c>
      <c r="L11" s="52">
        <v>8.5</v>
      </c>
      <c r="M11" s="50"/>
      <c r="N11" s="45">
        <f t="shared" si="0"/>
        <v>39.200000000000003</v>
      </c>
      <c r="O11" s="45">
        <f>IF(N11="","",N11+O10)</f>
        <v>61.300000000000004</v>
      </c>
      <c r="R11" s="53">
        <f>O41+0.00001</f>
        <v>96.450009999999992</v>
      </c>
      <c r="S11" s="53" t="str">
        <f>B38</f>
        <v>Kaitlyn Ip</v>
      </c>
      <c r="T11" s="53" t="str">
        <f>C38</f>
        <v>HCP</v>
      </c>
    </row>
    <row r="12" spans="1:20" x14ac:dyDescent="0.25">
      <c r="A12" s="97"/>
      <c r="B12" s="107"/>
      <c r="C12" s="106"/>
      <c r="D12" s="46">
        <v>3</v>
      </c>
      <c r="E12" s="50" t="s">
        <v>72</v>
      </c>
      <c r="F12" s="45" t="str">
        <f>IF($E12="","",IF(ISNA(VLOOKUP($E12,DD!$A$2:$C$150,2,0)),"NO SUCH DIVE",VLOOKUP($E12,DD!$A$2:$C$150,2,0)))</f>
        <v>Front somersault tuck</v>
      </c>
      <c r="G12" s="46">
        <f>IF($E12="","",IF(ISNA(VLOOKUP($E12,DD!$A$2:$C$150,3,0)),"",VLOOKUP($E12,DD!$A$2:$C$150,3,0)))</f>
        <v>1.4</v>
      </c>
      <c r="H12" s="52">
        <v>6.5</v>
      </c>
      <c r="I12" s="52">
        <v>5</v>
      </c>
      <c r="J12" s="52">
        <v>5.5</v>
      </c>
      <c r="K12" s="52">
        <v>5.5</v>
      </c>
      <c r="L12" s="52">
        <v>6</v>
      </c>
      <c r="M12" s="50"/>
      <c r="N12" s="45">
        <f t="shared" si="0"/>
        <v>23.799999999999997</v>
      </c>
      <c r="O12" s="45">
        <f>IF(N12="","",N12+O11)</f>
        <v>85.1</v>
      </c>
      <c r="R12" s="53">
        <f>O45+0.000011</f>
        <v>69.200010999999989</v>
      </c>
      <c r="S12" s="53" t="str">
        <f>B42</f>
        <v>Laurie Beluse</v>
      </c>
      <c r="T12" s="53" t="str">
        <f>C42</f>
        <v>WLRC</v>
      </c>
    </row>
    <row r="13" spans="1:20" x14ac:dyDescent="0.25">
      <c r="A13" s="97"/>
      <c r="B13" s="107"/>
      <c r="C13" s="106"/>
      <c r="D13" s="46">
        <v>4</v>
      </c>
      <c r="E13" s="50" t="s">
        <v>112</v>
      </c>
      <c r="F13" s="45" t="str">
        <f>IF($E13="","",IF(ISNA(VLOOKUP($E13,DD!$A$2:$C$150,2,0)),"NO SUCH DIVE",VLOOKUP($E13,DD!$A$2:$C$150,2,0)))</f>
        <v>Back somersault tuck</v>
      </c>
      <c r="G13" s="46">
        <f>IF($E13="","",IF(ISNA(VLOOKUP($E13,DD!$A$2:$C$150,3,0)),"",VLOOKUP($E13,DD!$A$2:$C$150,3,0)))</f>
        <v>1.5</v>
      </c>
      <c r="H13" s="52">
        <v>5.5</v>
      </c>
      <c r="I13" s="52">
        <v>4.5</v>
      </c>
      <c r="J13" s="52">
        <v>4</v>
      </c>
      <c r="K13" s="52">
        <v>5</v>
      </c>
      <c r="L13" s="52">
        <v>5</v>
      </c>
      <c r="M13" s="50"/>
      <c r="N13" s="45">
        <f t="shared" si="0"/>
        <v>21.75</v>
      </c>
      <c r="O13" s="54">
        <f>IF(N13="",0,N13+O12)</f>
        <v>106.85</v>
      </c>
      <c r="R13" s="53">
        <f>O49+0.000012</f>
        <v>1.2E-5</v>
      </c>
      <c r="S13" s="53">
        <f>B46</f>
        <v>0</v>
      </c>
      <c r="T13" s="53">
        <f>C46</f>
        <v>0</v>
      </c>
    </row>
    <row r="14" spans="1:20" x14ac:dyDescent="0.25">
      <c r="A14" s="100">
        <v>4</v>
      </c>
      <c r="B14" s="101" t="s">
        <v>141</v>
      </c>
      <c r="C14" s="102" t="s">
        <v>52</v>
      </c>
      <c r="D14" s="55">
        <v>1</v>
      </c>
      <c r="E14" s="56" t="s">
        <v>89</v>
      </c>
      <c r="F14" s="57" t="str">
        <f>IF($E14="","",IF(ISNA(VLOOKUP($E14,DD!$A$2:$C$150,2,0)),"NO SUCH DIVE",VLOOKUP($E14,DD!$A$2:$C$150,2,0)))</f>
        <v>Front dive tuck</v>
      </c>
      <c r="G14" s="58">
        <f>IF($E14="","",IF(ISNA(VLOOKUP($E14,DD!$A$2:$C$150,3,0)),"",VLOOKUP($E14,DD!$A$2:$C$150,3,0)))</f>
        <v>1.3</v>
      </c>
      <c r="H14" s="59">
        <v>5.5</v>
      </c>
      <c r="I14" s="59">
        <v>5</v>
      </c>
      <c r="J14" s="59">
        <v>5.5</v>
      </c>
      <c r="K14" s="59">
        <v>5.5</v>
      </c>
      <c r="L14" s="59">
        <v>6</v>
      </c>
      <c r="M14" s="56"/>
      <c r="N14" s="57">
        <f t="shared" si="0"/>
        <v>21.45</v>
      </c>
      <c r="O14" s="57">
        <f>IF(N14="","",N14)</f>
        <v>21.45</v>
      </c>
      <c r="R14" s="53">
        <f>O53+0.000013</f>
        <v>105.95001299999998</v>
      </c>
      <c r="S14" s="53" t="str">
        <f>B50</f>
        <v>Lianne Discepola</v>
      </c>
      <c r="T14" s="53" t="str">
        <f>C50</f>
        <v>Cedar</v>
      </c>
    </row>
    <row r="15" spans="1:20" x14ac:dyDescent="0.25">
      <c r="A15" s="100"/>
      <c r="B15" s="101"/>
      <c r="C15" s="102"/>
      <c r="D15" s="55">
        <v>2</v>
      </c>
      <c r="E15" s="61" t="s">
        <v>58</v>
      </c>
      <c r="F15" s="57" t="str">
        <f>IF($E15="","",IF(ISNA(VLOOKUP($E15,DD!$A$2:$C$150,2,0)),"NO SUCH DIVE",VLOOKUP($E15,DD!$A$2:$C$150,2,0)))</f>
        <v>Back dive layout</v>
      </c>
      <c r="G15" s="58">
        <f>IF($E15="","",IF(ISNA(VLOOKUP($E15,DD!$A$2:$C$150,3,0)),"",VLOOKUP($E15,DD!$A$2:$C$150,3,0)))</f>
        <v>1.4</v>
      </c>
      <c r="H15" s="59">
        <v>5</v>
      </c>
      <c r="I15" s="59">
        <v>5</v>
      </c>
      <c r="J15" s="59">
        <v>6</v>
      </c>
      <c r="K15" s="59">
        <v>5.5</v>
      </c>
      <c r="L15" s="59">
        <v>6.5</v>
      </c>
      <c r="M15" s="56"/>
      <c r="N15" s="57">
        <f t="shared" si="0"/>
        <v>23.099999999999998</v>
      </c>
      <c r="O15" s="57">
        <f>IF(N15="","",N15+O14)</f>
        <v>44.55</v>
      </c>
      <c r="R15" s="53">
        <f>O57+0.000014</f>
        <v>68.80001399999999</v>
      </c>
      <c r="S15" s="53" t="str">
        <f>B54</f>
        <v>Lucy Wood</v>
      </c>
      <c r="T15" s="53" t="str">
        <f>C54</f>
        <v>MWAC</v>
      </c>
    </row>
    <row r="16" spans="1:20" x14ac:dyDescent="0.25">
      <c r="A16" s="100"/>
      <c r="B16" s="101"/>
      <c r="C16" s="102"/>
      <c r="D16" s="55">
        <v>3</v>
      </c>
      <c r="E16" s="61" t="s">
        <v>45</v>
      </c>
      <c r="F16" s="57" t="str">
        <f>IF($E16="","",IF(ISNA(VLOOKUP($E16,DD!$A$2:$C$150,2,0)),"NO SUCH DIVE",VLOOKUP($E16,DD!$A$2:$C$150,2,0)))</f>
        <v>Front jump tuck</v>
      </c>
      <c r="G16" s="55">
        <f>IF($E16="","",IF(ISNA(VLOOKUP($E16,DD!$A$2:$C$150,3,0)),"",VLOOKUP($E16,DD!$A$2:$C$150,3,0)))</f>
        <v>0.6</v>
      </c>
      <c r="H16" s="59">
        <v>5</v>
      </c>
      <c r="I16" s="59">
        <v>5</v>
      </c>
      <c r="J16" s="59">
        <v>5.5</v>
      </c>
      <c r="K16" s="59">
        <v>5.5</v>
      </c>
      <c r="L16" s="59">
        <v>6</v>
      </c>
      <c r="M16" s="56"/>
      <c r="N16" s="57">
        <f t="shared" si="0"/>
        <v>9.6</v>
      </c>
      <c r="O16" s="57">
        <f>IF(N16="","",N16+O15)</f>
        <v>54.15</v>
      </c>
      <c r="R16" s="53">
        <f>O61+0.000015</f>
        <v>1.5E-5</v>
      </c>
      <c r="S16" s="53">
        <f>B58</f>
        <v>0</v>
      </c>
      <c r="T16" s="53">
        <f>C58</f>
        <v>0</v>
      </c>
    </row>
    <row r="17" spans="1:20" x14ac:dyDescent="0.25">
      <c r="A17" s="100"/>
      <c r="B17" s="101"/>
      <c r="C17" s="102"/>
      <c r="D17" s="55">
        <v>4</v>
      </c>
      <c r="E17" s="61" t="s">
        <v>64</v>
      </c>
      <c r="F17" s="57" t="str">
        <f>IF($E17="","",IF(ISNA(VLOOKUP($E17,DD!$A$2:$C$150,2,0)),"NO SUCH DIVE",VLOOKUP($E17,DD!$A$2:$C$150,2,0)))</f>
        <v>Back dive ½ twist layout</v>
      </c>
      <c r="G17" s="55">
        <f>IF($E17="","",IF(ISNA(VLOOKUP($E17,DD!$A$2:$C$150,3,0)),"",VLOOKUP($E17,DD!$A$2:$C$150,3,0)))</f>
        <v>1.4</v>
      </c>
      <c r="H17" s="59">
        <v>4.5</v>
      </c>
      <c r="I17" s="59">
        <v>5</v>
      </c>
      <c r="J17" s="59">
        <v>5</v>
      </c>
      <c r="K17" s="59">
        <v>5</v>
      </c>
      <c r="L17" s="59">
        <v>7</v>
      </c>
      <c r="M17" s="56"/>
      <c r="N17" s="57">
        <f t="shared" si="0"/>
        <v>21</v>
      </c>
      <c r="O17" s="60">
        <f>IF(N17="",0,N17+O16)</f>
        <v>75.150000000000006</v>
      </c>
      <c r="R17" s="53">
        <f>O65+0.000016</f>
        <v>69.250016000000002</v>
      </c>
      <c r="S17" s="53" t="str">
        <f>B62</f>
        <v>Mackenzie Brook</v>
      </c>
      <c r="T17" s="53" t="str">
        <f>C62</f>
        <v>BHILL</v>
      </c>
    </row>
    <row r="18" spans="1:20" ht="15" customHeight="1" x14ac:dyDescent="0.25">
      <c r="A18" s="97">
        <v>5</v>
      </c>
      <c r="B18" s="107" t="s">
        <v>113</v>
      </c>
      <c r="C18" s="106" t="s">
        <v>49</v>
      </c>
      <c r="D18" s="46">
        <v>1</v>
      </c>
      <c r="E18" s="50" t="s">
        <v>86</v>
      </c>
      <c r="F18" s="45" t="str">
        <f>IF($E18="","",IF(ISNA(VLOOKUP($E18,DD!$A$2:$C$150,2,0)),"NO SUCH DIVE",VLOOKUP($E18,DD!$A$2:$C$150,2,0)))</f>
        <v>Front jump tuck</v>
      </c>
      <c r="G18" s="51">
        <f>IF($E18="","",IF(ISNA(VLOOKUP($E18,DD!$A$2:$C$150,3,0)),"",VLOOKUP($E18,DD!$A$2:$C$150,3,0)))</f>
        <v>0.6</v>
      </c>
      <c r="H18" s="52">
        <v>5.5</v>
      </c>
      <c r="I18" s="52">
        <v>7.5</v>
      </c>
      <c r="J18" s="52">
        <v>6</v>
      </c>
      <c r="K18" s="52">
        <v>6</v>
      </c>
      <c r="L18" s="52">
        <v>7</v>
      </c>
      <c r="M18" s="50"/>
      <c r="N18" s="45">
        <f t="shared" si="0"/>
        <v>11.4</v>
      </c>
      <c r="O18" s="45">
        <f>IF(N18="","",N18)</f>
        <v>11.4</v>
      </c>
      <c r="R18" s="53">
        <f>O69+0.000017</f>
        <v>107.85001699999999</v>
      </c>
      <c r="S18" s="53" t="str">
        <f>B66</f>
        <v>Mackenzie Patrouille</v>
      </c>
      <c r="T18" s="53" t="str">
        <f>C66</f>
        <v>PVPC</v>
      </c>
    </row>
    <row r="19" spans="1:20" x14ac:dyDescent="0.25">
      <c r="A19" s="97"/>
      <c r="B19" s="107"/>
      <c r="C19" s="106"/>
      <c r="D19" s="46">
        <v>2</v>
      </c>
      <c r="E19" s="50" t="s">
        <v>114</v>
      </c>
      <c r="F19" s="45" t="str">
        <f>IF($E19="","",IF(ISNA(VLOOKUP($E19,DD!$A$2:$C$150,2,0)),"NO SUCH DIVE",VLOOKUP($E19,DD!$A$2:$C$150,2,0)))</f>
        <v>Back jump tuck</v>
      </c>
      <c r="G19" s="51">
        <f>IF($E19="","",IF(ISNA(VLOOKUP($E19,DD!$A$2:$C$150,3,0)),"",VLOOKUP($E19,DD!$A$2:$C$150,3,0)))</f>
        <v>0.6</v>
      </c>
      <c r="H19" s="52">
        <v>4.5</v>
      </c>
      <c r="I19" s="52">
        <v>4</v>
      </c>
      <c r="J19" s="52">
        <v>5</v>
      </c>
      <c r="K19" s="52">
        <v>4</v>
      </c>
      <c r="L19" s="52">
        <v>4</v>
      </c>
      <c r="M19" s="50"/>
      <c r="N19" s="45">
        <f t="shared" si="0"/>
        <v>7.5</v>
      </c>
      <c r="O19" s="45">
        <f>IF(N19="","",N19+O18)</f>
        <v>18.899999999999999</v>
      </c>
      <c r="R19" s="53">
        <f>O73+0.000018</f>
        <v>1.8E-5</v>
      </c>
      <c r="S19" s="53">
        <f>B70</f>
        <v>0</v>
      </c>
      <c r="T19" s="53">
        <f>C70</f>
        <v>0</v>
      </c>
    </row>
    <row r="20" spans="1:20" x14ac:dyDescent="0.25">
      <c r="A20" s="97"/>
      <c r="B20" s="107"/>
      <c r="C20" s="106"/>
      <c r="D20" s="46">
        <v>3</v>
      </c>
      <c r="E20" s="50" t="s">
        <v>115</v>
      </c>
      <c r="F20" s="45" t="str">
        <f>IF($E20="","",IF(ISNA(VLOOKUP($E20,DD!$A$2:$C$150,2,0)),"NO SUCH DIVE",VLOOKUP($E20,DD!$A$2:$C$150,2,0)))</f>
        <v>Back dive layout</v>
      </c>
      <c r="G20" s="46">
        <f>IF($E20="","",IF(ISNA(VLOOKUP($E20,DD!$A$2:$C$150,3,0)),"",VLOOKUP($E20,DD!$A$2:$C$150,3,0)))</f>
        <v>1.4</v>
      </c>
      <c r="H20" s="52">
        <v>5</v>
      </c>
      <c r="I20" s="52">
        <v>4.5</v>
      </c>
      <c r="J20" s="52">
        <v>5</v>
      </c>
      <c r="K20" s="52">
        <v>5</v>
      </c>
      <c r="L20" s="52">
        <v>6.5</v>
      </c>
      <c r="M20" s="50"/>
      <c r="N20" s="45">
        <f t="shared" si="0"/>
        <v>21</v>
      </c>
      <c r="O20" s="45">
        <f>IF(N20="","",N20+O19)</f>
        <v>39.9</v>
      </c>
      <c r="R20" s="53">
        <f>O77+0.000019</f>
        <v>1.9000000000000001E-5</v>
      </c>
      <c r="S20" s="53">
        <f>B74</f>
        <v>0</v>
      </c>
      <c r="T20" s="53">
        <f>C74</f>
        <v>0</v>
      </c>
    </row>
    <row r="21" spans="1:20" x14ac:dyDescent="0.25">
      <c r="A21" s="97"/>
      <c r="B21" s="107"/>
      <c r="C21" s="106"/>
      <c r="D21" s="46">
        <v>4</v>
      </c>
      <c r="E21" s="50" t="s">
        <v>116</v>
      </c>
      <c r="F21" s="45" t="str">
        <f>IF($E21="","",IF(ISNA(VLOOKUP($E21,DD!$A$2:$C$150,2,0)),"NO SUCH DIVE",VLOOKUP($E21,DD!$A$2:$C$150,2,0)))</f>
        <v>Front dive layout</v>
      </c>
      <c r="G21" s="46">
        <f>IF($E21="","",IF(ISNA(VLOOKUP($E21,DD!$A$2:$C$150,3,0)),"",VLOOKUP($E21,DD!$A$2:$C$150,3,0)))</f>
        <v>1.3</v>
      </c>
      <c r="H21" s="52">
        <v>4</v>
      </c>
      <c r="I21" s="52">
        <v>4.5</v>
      </c>
      <c r="J21" s="52">
        <v>5</v>
      </c>
      <c r="K21" s="52">
        <v>5</v>
      </c>
      <c r="L21" s="52">
        <v>5</v>
      </c>
      <c r="M21" s="50"/>
      <c r="N21" s="45">
        <f t="shared" si="0"/>
        <v>18.850000000000001</v>
      </c>
      <c r="O21" s="54">
        <f>IF(N21="",0,N21+O20)</f>
        <v>58.75</v>
      </c>
      <c r="R21" s="53">
        <f>O81+0.00002</f>
        <v>100.40002000000001</v>
      </c>
      <c r="S21" s="53" t="str">
        <f>B78</f>
        <v>Maya Narchessault</v>
      </c>
      <c r="T21" s="53" t="str">
        <f>C78</f>
        <v>Side</v>
      </c>
    </row>
    <row r="22" spans="1:20" ht="15" customHeight="1" x14ac:dyDescent="0.25">
      <c r="A22" s="100">
        <v>6</v>
      </c>
      <c r="B22" s="101" t="s">
        <v>117</v>
      </c>
      <c r="C22" s="102" t="s">
        <v>88</v>
      </c>
      <c r="D22" s="55">
        <v>1</v>
      </c>
      <c r="E22" s="56" t="s">
        <v>118</v>
      </c>
      <c r="F22" s="57" t="str">
        <f>IF($E22="","",IF(ISNA(VLOOKUP($E22,DD!$A$2:$C$150,2,0)),"NO SUCH DIVE",VLOOKUP($E22,DD!$A$2:$C$150,2,0)))</f>
        <v>Front dive tuck</v>
      </c>
      <c r="G22" s="58">
        <f>IF($E22="","",IF(ISNA(VLOOKUP($E22,DD!$A$2:$C$150,3,0)),"",VLOOKUP($E22,DD!$A$2:$C$150,3,0)))</f>
        <v>1.3</v>
      </c>
      <c r="H22" s="59">
        <v>7.5</v>
      </c>
      <c r="I22" s="59">
        <v>8</v>
      </c>
      <c r="J22" s="59">
        <v>6.5</v>
      </c>
      <c r="K22" s="59">
        <v>7.5</v>
      </c>
      <c r="L22" s="59">
        <v>7.5</v>
      </c>
      <c r="M22" s="56"/>
      <c r="N22" s="57">
        <f t="shared" si="0"/>
        <v>29.25</v>
      </c>
      <c r="O22" s="57">
        <f>IF(N22="","",N22)</f>
        <v>29.25</v>
      </c>
      <c r="R22" s="53">
        <f>O85+0.000021</f>
        <v>2.0999999999999999E-5</v>
      </c>
      <c r="S22" s="53">
        <f>B82</f>
        <v>0</v>
      </c>
      <c r="T22" s="53">
        <f>C82</f>
        <v>0</v>
      </c>
    </row>
    <row r="23" spans="1:20" x14ac:dyDescent="0.25">
      <c r="A23" s="100"/>
      <c r="B23" s="101"/>
      <c r="C23" s="102"/>
      <c r="D23" s="55">
        <v>2</v>
      </c>
      <c r="E23" s="56" t="s">
        <v>119</v>
      </c>
      <c r="F23" s="57" t="str">
        <f>IF($E23="","",IF(ISNA(VLOOKUP($E23,DD!$A$2:$C$150,2,0)),"NO SUCH DIVE",VLOOKUP($E23,DD!$A$2:$C$150,2,0)))</f>
        <v>Back somersault tuck</v>
      </c>
      <c r="G23" s="58">
        <f>IF($E23="","",IF(ISNA(VLOOKUP($E23,DD!$A$2:$C$150,3,0)),"",VLOOKUP($E23,DD!$A$2:$C$150,3,0)))</f>
        <v>1.5</v>
      </c>
      <c r="H23" s="59">
        <v>4.5</v>
      </c>
      <c r="I23" s="59">
        <v>4.5</v>
      </c>
      <c r="J23" s="59">
        <v>5.5</v>
      </c>
      <c r="K23" s="59">
        <v>4</v>
      </c>
      <c r="L23" s="59">
        <v>5</v>
      </c>
      <c r="M23" s="56"/>
      <c r="N23" s="57">
        <f t="shared" si="0"/>
        <v>21</v>
      </c>
      <c r="O23" s="57">
        <f>IF(N23="","",N23+O22)</f>
        <v>50.25</v>
      </c>
      <c r="R23" s="53">
        <f>O89+0.000022</f>
        <v>88.20002199999999</v>
      </c>
      <c r="S23" s="53" t="str">
        <f>B86</f>
        <v>Myriam Akrivos</v>
      </c>
      <c r="T23" s="53" t="str">
        <f>C86</f>
        <v>WLRC</v>
      </c>
    </row>
    <row r="24" spans="1:20" x14ac:dyDescent="0.25">
      <c r="A24" s="100"/>
      <c r="B24" s="101"/>
      <c r="C24" s="102"/>
      <c r="D24" s="55">
        <v>3</v>
      </c>
      <c r="E24" s="56" t="s">
        <v>115</v>
      </c>
      <c r="F24" s="57" t="str">
        <f>IF($E24="","",IF(ISNA(VLOOKUP($E24,DD!$A$2:$C$150,2,0)),"NO SUCH DIVE",VLOOKUP($E24,DD!$A$2:$C$150,2,0)))</f>
        <v>Back dive layout</v>
      </c>
      <c r="G24" s="55">
        <f>IF($E24="","",IF(ISNA(VLOOKUP($E24,DD!$A$2:$C$150,3,0)),"",VLOOKUP($E24,DD!$A$2:$C$150,3,0)))</f>
        <v>1.4</v>
      </c>
      <c r="H24" s="59">
        <v>5.5</v>
      </c>
      <c r="I24" s="59">
        <v>4.5</v>
      </c>
      <c r="J24" s="59">
        <v>5</v>
      </c>
      <c r="K24" s="59">
        <v>5.5</v>
      </c>
      <c r="L24" s="59">
        <v>6</v>
      </c>
      <c r="M24" s="56"/>
      <c r="N24" s="57">
        <f t="shared" si="0"/>
        <v>22.4</v>
      </c>
      <c r="O24" s="57">
        <f>IF(N24="","",N24+O23)</f>
        <v>72.650000000000006</v>
      </c>
      <c r="R24" s="53">
        <f>O93+0.000023</f>
        <v>2.3E-5</v>
      </c>
      <c r="S24" s="53">
        <f>B90</f>
        <v>0</v>
      </c>
      <c r="T24" s="53">
        <f>C90</f>
        <v>0</v>
      </c>
    </row>
    <row r="25" spans="1:20" x14ac:dyDescent="0.25">
      <c r="A25" s="100"/>
      <c r="B25" s="101"/>
      <c r="C25" s="102"/>
      <c r="D25" s="55">
        <v>4</v>
      </c>
      <c r="E25" s="56" t="s">
        <v>120</v>
      </c>
      <c r="F25" s="57" t="str">
        <f>IF($E25="","",IF(ISNA(VLOOKUP($E25,DD!$A$2:$C$150,2,0)),"NO SUCH DIVE",VLOOKUP($E25,DD!$A$2:$C$150,2,0)))</f>
        <v>Back dive ½ twist layout</v>
      </c>
      <c r="G25" s="55">
        <f>IF($E25="","",IF(ISNA(VLOOKUP($E25,DD!$A$2:$C$150,3,0)),"",VLOOKUP($E25,DD!$A$2:$C$150,3,0)))</f>
        <v>1.4</v>
      </c>
      <c r="H25" s="59">
        <v>4</v>
      </c>
      <c r="I25" s="59">
        <v>4.5</v>
      </c>
      <c r="J25" s="59">
        <v>5</v>
      </c>
      <c r="K25" s="59">
        <v>5</v>
      </c>
      <c r="L25" s="59">
        <v>5</v>
      </c>
      <c r="M25" s="56"/>
      <c r="N25" s="57">
        <f t="shared" si="0"/>
        <v>20.299999999999997</v>
      </c>
      <c r="O25" s="60">
        <f>IF(N25="",0,N25+O24)</f>
        <v>92.95</v>
      </c>
      <c r="R25" s="53">
        <f>O97+0.000024</f>
        <v>86.100023999999991</v>
      </c>
      <c r="S25" s="53" t="str">
        <f>B94</f>
        <v>Sophia Cyrenne</v>
      </c>
      <c r="T25" s="53" t="str">
        <f>C94</f>
        <v>SNVL</v>
      </c>
    </row>
    <row r="26" spans="1:20" ht="15" customHeight="1" x14ac:dyDescent="0.25">
      <c r="A26" s="97">
        <v>7</v>
      </c>
      <c r="B26" s="107" t="s">
        <v>121</v>
      </c>
      <c r="C26" s="106" t="s">
        <v>52</v>
      </c>
      <c r="D26" s="46">
        <v>1</v>
      </c>
      <c r="E26" s="50" t="s">
        <v>54</v>
      </c>
      <c r="F26" s="45" t="str">
        <f>IF($E26="","",IF(ISNA(VLOOKUP($E26,DD!$A$2:$C$150,2,0)),"NO SUCH DIVE",VLOOKUP($E26,DD!$A$2:$C$150,2,0)))</f>
        <v>Front dive layout</v>
      </c>
      <c r="G26" s="51">
        <f>IF($E26="","",IF(ISNA(VLOOKUP($E26,DD!$A$2:$C$150,3,0)),"",VLOOKUP($E26,DD!$A$2:$C$150,3,0)))</f>
        <v>1.3</v>
      </c>
      <c r="H26" s="52">
        <v>6.5</v>
      </c>
      <c r="I26" s="52">
        <v>6.5</v>
      </c>
      <c r="J26" s="52">
        <v>5.5</v>
      </c>
      <c r="K26" s="52">
        <v>6.5</v>
      </c>
      <c r="L26" s="52">
        <v>6.5</v>
      </c>
      <c r="M26" s="50"/>
      <c r="N26" s="45">
        <f t="shared" si="0"/>
        <v>25.35</v>
      </c>
      <c r="O26" s="45">
        <f>IF(N26="","",N26)</f>
        <v>25.35</v>
      </c>
      <c r="R26" s="53">
        <v>0</v>
      </c>
    </row>
    <row r="27" spans="1:20" x14ac:dyDescent="0.25">
      <c r="A27" s="97"/>
      <c r="B27" s="107"/>
      <c r="C27" s="106"/>
      <c r="D27" s="46">
        <v>2</v>
      </c>
      <c r="E27" s="50" t="s">
        <v>58</v>
      </c>
      <c r="F27" s="45" t="str">
        <f>IF($E27="","",IF(ISNA(VLOOKUP($E27,DD!$A$2:$C$150,2,0)),"NO SUCH DIVE",VLOOKUP($E27,DD!$A$2:$C$150,2,0)))</f>
        <v>Back dive layout</v>
      </c>
      <c r="G27" s="51">
        <f>IF($E27="","",IF(ISNA(VLOOKUP($E27,DD!$A$2:$C$150,3,0)),"",VLOOKUP($E27,DD!$A$2:$C$150,3,0)))</f>
        <v>1.4</v>
      </c>
      <c r="H27" s="52">
        <v>6.5</v>
      </c>
      <c r="I27" s="52">
        <v>6.5</v>
      </c>
      <c r="J27" s="52">
        <v>6</v>
      </c>
      <c r="K27" s="52">
        <v>6.5</v>
      </c>
      <c r="L27" s="52">
        <v>7</v>
      </c>
      <c r="M27" s="50"/>
      <c r="N27" s="45">
        <f t="shared" si="0"/>
        <v>27.299999999999997</v>
      </c>
      <c r="O27" s="45">
        <f>IF(N27="","",N27+O26)</f>
        <v>52.65</v>
      </c>
    </row>
    <row r="28" spans="1:20" x14ac:dyDescent="0.25">
      <c r="A28" s="97"/>
      <c r="B28" s="107"/>
      <c r="C28" s="106"/>
      <c r="D28" s="46">
        <v>3</v>
      </c>
      <c r="E28" s="50" t="s">
        <v>45</v>
      </c>
      <c r="F28" s="45" t="str">
        <f>IF($E28="","",IF(ISNA(VLOOKUP($E28,DD!$A$2:$C$150,2,0)),"NO SUCH DIVE",VLOOKUP($E28,DD!$A$2:$C$150,2,0)))</f>
        <v>Front jump tuck</v>
      </c>
      <c r="G28" s="46">
        <f>IF($E28="","",IF(ISNA(VLOOKUP($E28,DD!$A$2:$C$150,3,0)),"",VLOOKUP($E28,DD!$A$2:$C$150,3,0)))</f>
        <v>0.6</v>
      </c>
      <c r="H28" s="52">
        <v>8</v>
      </c>
      <c r="I28" s="52">
        <v>7.5</v>
      </c>
      <c r="J28" s="52">
        <v>6.5</v>
      </c>
      <c r="K28" s="52">
        <v>7</v>
      </c>
      <c r="L28" s="52">
        <v>7.5</v>
      </c>
      <c r="M28" s="50"/>
      <c r="N28" s="45">
        <f t="shared" si="0"/>
        <v>13.2</v>
      </c>
      <c r="O28" s="45">
        <f>IF(N28="","",N28+O27)</f>
        <v>65.849999999999994</v>
      </c>
    </row>
    <row r="29" spans="1:20" x14ac:dyDescent="0.25">
      <c r="A29" s="97"/>
      <c r="B29" s="107"/>
      <c r="C29" s="106"/>
      <c r="D29" s="46">
        <v>4</v>
      </c>
      <c r="E29" s="50" t="s">
        <v>64</v>
      </c>
      <c r="F29" s="45" t="str">
        <f>IF($E29="","",IF(ISNA(VLOOKUP($E29,DD!$A$2:$C$150,2,0)),"NO SUCH DIVE",VLOOKUP($E29,DD!$A$2:$C$150,2,0)))</f>
        <v>Back dive ½ twist layout</v>
      </c>
      <c r="G29" s="46">
        <f>IF($E29="","",IF(ISNA(VLOOKUP($E29,DD!$A$2:$C$150,3,0)),"",VLOOKUP($E29,DD!$A$2:$C$150,3,0)))</f>
        <v>1.4</v>
      </c>
      <c r="H29" s="52">
        <v>5</v>
      </c>
      <c r="I29" s="52">
        <v>4.5</v>
      </c>
      <c r="J29" s="52">
        <v>4.5</v>
      </c>
      <c r="K29" s="52">
        <v>4.5</v>
      </c>
      <c r="L29" s="52">
        <v>5</v>
      </c>
      <c r="M29" s="50"/>
      <c r="N29" s="45">
        <f t="shared" si="0"/>
        <v>19.599999999999998</v>
      </c>
      <c r="O29" s="54">
        <f>IF(N29="",0,N29+O28)</f>
        <v>85.449999999999989</v>
      </c>
    </row>
    <row r="30" spans="1:20" x14ac:dyDescent="0.25">
      <c r="A30" s="100">
        <v>8</v>
      </c>
      <c r="B30" s="101" t="s">
        <v>142</v>
      </c>
      <c r="C30" s="102" t="s">
        <v>4</v>
      </c>
      <c r="D30" s="55">
        <v>1</v>
      </c>
      <c r="E30" s="56" t="s">
        <v>54</v>
      </c>
      <c r="F30" s="57" t="str">
        <f>IF($E30="","",IF(ISNA(VLOOKUP($E30,DD!$A$2:$C$150,2,0)),"NO SUCH DIVE",VLOOKUP($E30,DD!$A$2:$C$150,2,0)))</f>
        <v>Front dive layout</v>
      </c>
      <c r="G30" s="58">
        <f>IF($E30="","",IF(ISNA(VLOOKUP($E30,DD!$A$2:$C$150,3,0)),"",VLOOKUP($E30,DD!$A$2:$C$150,3,0)))</f>
        <v>1.3</v>
      </c>
      <c r="H30" s="52">
        <v>5</v>
      </c>
      <c r="I30" s="52">
        <v>5.5</v>
      </c>
      <c r="J30" s="52">
        <v>4.5</v>
      </c>
      <c r="K30" s="52">
        <v>6.5</v>
      </c>
      <c r="L30" s="52">
        <v>6.5</v>
      </c>
      <c r="M30" s="56"/>
      <c r="N30" s="57">
        <f t="shared" si="0"/>
        <v>22.1</v>
      </c>
      <c r="O30" s="57">
        <f>IF(N30="","",N30)</f>
        <v>22.1</v>
      </c>
    </row>
    <row r="31" spans="1:20" x14ac:dyDescent="0.25">
      <c r="A31" s="100"/>
      <c r="B31" s="101"/>
      <c r="C31" s="102"/>
      <c r="D31" s="55">
        <v>2</v>
      </c>
      <c r="E31" s="61" t="s">
        <v>64</v>
      </c>
      <c r="F31" s="57" t="str">
        <f>IF($E31="","",IF(ISNA(VLOOKUP($E31,DD!$A$2:$C$150,2,0)),"NO SUCH DIVE",VLOOKUP($E31,DD!$A$2:$C$150,2,0)))</f>
        <v>Back dive ½ twist layout</v>
      </c>
      <c r="G31" s="58">
        <f>IF($E31="","",IF(ISNA(VLOOKUP($E31,DD!$A$2:$C$150,3,0)),"",VLOOKUP($E31,DD!$A$2:$C$150,3,0)))</f>
        <v>1.4</v>
      </c>
      <c r="H31" s="52">
        <v>5</v>
      </c>
      <c r="I31" s="52">
        <v>5</v>
      </c>
      <c r="J31" s="52">
        <v>5</v>
      </c>
      <c r="K31" s="52">
        <v>5</v>
      </c>
      <c r="L31" s="52">
        <v>5</v>
      </c>
      <c r="M31" s="56"/>
      <c r="N31" s="57">
        <f t="shared" si="0"/>
        <v>21</v>
      </c>
      <c r="O31" s="57">
        <f>IF(N31="","",N31+O30)</f>
        <v>43.1</v>
      </c>
    </row>
    <row r="32" spans="1:20" x14ac:dyDescent="0.25">
      <c r="A32" s="100"/>
      <c r="B32" s="101"/>
      <c r="C32" s="102"/>
      <c r="D32" s="55">
        <v>3</v>
      </c>
      <c r="E32" s="56" t="s">
        <v>72</v>
      </c>
      <c r="F32" s="57" t="str">
        <f>IF($E32="","",IF(ISNA(VLOOKUP($E32,DD!$A$2:$C$150,2,0)),"NO SUCH DIVE",VLOOKUP($E32,DD!$A$2:$C$150,2,0)))</f>
        <v>Front somersault tuck</v>
      </c>
      <c r="G32" s="55">
        <f>IF($E32="","",IF(ISNA(VLOOKUP($E32,DD!$A$2:$C$150,3,0)),"",VLOOKUP($E32,DD!$A$2:$C$150,3,0)))</f>
        <v>1.4</v>
      </c>
      <c r="H32" s="52">
        <v>6</v>
      </c>
      <c r="I32" s="52">
        <v>6</v>
      </c>
      <c r="J32" s="52">
        <v>6.5</v>
      </c>
      <c r="K32" s="52">
        <v>7</v>
      </c>
      <c r="L32" s="52">
        <v>7</v>
      </c>
      <c r="M32" s="56"/>
      <c r="N32" s="57">
        <f t="shared" si="0"/>
        <v>27.299999999999997</v>
      </c>
      <c r="O32" s="57">
        <f>IF(N32="","",N32+O31)</f>
        <v>70.400000000000006</v>
      </c>
    </row>
    <row r="33" spans="1:15" x14ac:dyDescent="0.25">
      <c r="A33" s="100"/>
      <c r="B33" s="101"/>
      <c r="C33" s="102"/>
      <c r="D33" s="55">
        <v>4</v>
      </c>
      <c r="E33" s="56" t="s">
        <v>46</v>
      </c>
      <c r="F33" s="57" t="str">
        <f>IF($E33="","",IF(ISNA(VLOOKUP($E33,DD!$A$2:$C$150,2,0)),"NO SUCH DIVE",VLOOKUP($E33,DD!$A$2:$C$150,2,0)))</f>
        <v>Back fall in</v>
      </c>
      <c r="G33" s="55">
        <f>IF($E33="","",IF(ISNA(VLOOKUP($E33,DD!$A$2:$C$150,3,0)),"",VLOOKUP($E33,DD!$A$2:$C$150,3,0)))</f>
        <v>1</v>
      </c>
      <c r="H33" s="52">
        <v>5</v>
      </c>
      <c r="I33" s="52">
        <v>5.5</v>
      </c>
      <c r="J33" s="52">
        <v>5.5</v>
      </c>
      <c r="K33" s="52">
        <v>6</v>
      </c>
      <c r="L33" s="52">
        <v>6</v>
      </c>
      <c r="M33" s="56"/>
      <c r="N33" s="57">
        <f t="shared" si="0"/>
        <v>17</v>
      </c>
      <c r="O33" s="60">
        <f>IF(N33="",0,N33+O32)</f>
        <v>87.4</v>
      </c>
    </row>
    <row r="34" spans="1:15" x14ac:dyDescent="0.25">
      <c r="A34" s="97">
        <v>9</v>
      </c>
      <c r="B34" s="107"/>
      <c r="C34" s="106"/>
      <c r="D34" s="46">
        <v>1</v>
      </c>
      <c r="E34" s="50"/>
      <c r="F34" s="45" t="str">
        <f>IF($E34="","",IF(ISNA(VLOOKUP($E34,DD!$A$2:$C$150,2,0)),"NO SUCH DIVE",VLOOKUP($E34,DD!$A$2:$C$150,2,0)))</f>
        <v/>
      </c>
      <c r="G34" s="51" t="str">
        <f>IF($E34="","",IF(ISNA(VLOOKUP($E34,DD!$A$2:$C$150,3,0)),"",VLOOKUP($E34,DD!$A$2:$C$150,3,0)))</f>
        <v/>
      </c>
      <c r="H34" s="52"/>
      <c r="I34" s="52"/>
      <c r="J34" s="52"/>
      <c r="K34" s="52"/>
      <c r="L34" s="52"/>
      <c r="M34" s="50"/>
      <c r="N34" s="45" t="str">
        <f t="shared" ref="N34:N65" si="1">IF(G34="","",IF(COUNT(H34:L34)=3,IF(M34&lt;&gt;"",(SUM(H34:J34)-6)*G34,SUM(H34:J34)*G34),IF(M34&lt;&gt;"",(SUM(H34:L34)-MAX(H34:L34)-MIN(H34:L34)-6)*G34,(SUM(H34:L34)-MAX(H34:L34)-MIN(H34:L34))*G34)))</f>
        <v/>
      </c>
      <c r="O34" s="45" t="str">
        <f>IF(N34="","",N34)</f>
        <v/>
      </c>
    </row>
    <row r="35" spans="1:15" x14ac:dyDescent="0.25">
      <c r="A35" s="97"/>
      <c r="B35" s="107"/>
      <c r="C35" s="106"/>
      <c r="D35" s="46">
        <v>2</v>
      </c>
      <c r="E35" s="50"/>
      <c r="F35" s="45" t="str">
        <f>IF($E35="","",IF(ISNA(VLOOKUP($E35,DD!$A$2:$C$150,2,0)),"NO SUCH DIVE",VLOOKUP($E35,DD!$A$2:$C$150,2,0)))</f>
        <v/>
      </c>
      <c r="G35" s="51" t="str">
        <f>IF($E35="","",IF(ISNA(VLOOKUP($E35,DD!$A$2:$C$150,3,0)),"",VLOOKUP($E35,DD!$A$2:$C$150,3,0)))</f>
        <v/>
      </c>
      <c r="H35" s="52"/>
      <c r="I35" s="52"/>
      <c r="J35" s="52"/>
      <c r="K35" s="52"/>
      <c r="L35" s="52"/>
      <c r="M35" s="50"/>
      <c r="N35" s="45" t="str">
        <f t="shared" si="1"/>
        <v/>
      </c>
      <c r="O35" s="45" t="str">
        <f>IF(N35="","",N35+O34)</f>
        <v/>
      </c>
    </row>
    <row r="36" spans="1:15" x14ac:dyDescent="0.25">
      <c r="A36" s="97"/>
      <c r="B36" s="107"/>
      <c r="C36" s="106"/>
      <c r="D36" s="46">
        <v>3</v>
      </c>
      <c r="E36" s="62"/>
      <c r="F36" s="45" t="str">
        <f>IF($E36="","",IF(ISNA(VLOOKUP($E36,DD!$A$2:$C$150,2,0)),"NO SUCH DIVE",VLOOKUP($E36,DD!$A$2:$C$150,2,0)))</f>
        <v/>
      </c>
      <c r="G36" s="46" t="str">
        <f>IF($E36="","",IF(ISNA(VLOOKUP($E36,DD!$A$2:$C$150,3,0)),"",VLOOKUP($E36,DD!$A$2:$C$150,3,0)))</f>
        <v/>
      </c>
      <c r="H36" s="52"/>
      <c r="I36" s="52"/>
      <c r="J36" s="52"/>
      <c r="K36" s="52"/>
      <c r="L36" s="52"/>
      <c r="M36" s="50"/>
      <c r="N36" s="45" t="str">
        <f t="shared" si="1"/>
        <v/>
      </c>
      <c r="O36" s="45" t="str">
        <f>IF(N36="","",N36+O35)</f>
        <v/>
      </c>
    </row>
    <row r="37" spans="1:15" x14ac:dyDescent="0.25">
      <c r="A37" s="97"/>
      <c r="B37" s="107"/>
      <c r="C37" s="106"/>
      <c r="D37" s="46">
        <v>4</v>
      </c>
      <c r="E37" s="50"/>
      <c r="F37" s="45" t="str">
        <f>IF($E37="","",IF(ISNA(VLOOKUP($E37,DD!$A$2:$C$150,2,0)),"NO SUCH DIVE",VLOOKUP($E37,DD!$A$2:$C$150,2,0)))</f>
        <v/>
      </c>
      <c r="G37" s="46" t="str">
        <f>IF($E37="","",IF(ISNA(VLOOKUP($E37,DD!$A$2:$C$150,3,0)),"",VLOOKUP($E37,DD!$A$2:$C$150,3,0)))</f>
        <v/>
      </c>
      <c r="H37" s="52"/>
      <c r="I37" s="52"/>
      <c r="J37" s="52"/>
      <c r="K37" s="52"/>
      <c r="L37" s="52"/>
      <c r="M37" s="50"/>
      <c r="N37" s="45" t="str">
        <f t="shared" si="1"/>
        <v/>
      </c>
      <c r="O37" s="54">
        <f>IF(N37="",0,N37+O36)</f>
        <v>0</v>
      </c>
    </row>
    <row r="38" spans="1:15" ht="15" customHeight="1" x14ac:dyDescent="0.25">
      <c r="A38" s="100">
        <v>10</v>
      </c>
      <c r="B38" s="101" t="s">
        <v>122</v>
      </c>
      <c r="C38" s="102" t="s">
        <v>49</v>
      </c>
      <c r="D38" s="55">
        <v>1</v>
      </c>
      <c r="E38" s="56" t="s">
        <v>118</v>
      </c>
      <c r="F38" s="57" t="str">
        <f>IF($E38="","",IF(ISNA(VLOOKUP($E38,DD!$A$2:$C$150,2,0)),"NO SUCH DIVE",VLOOKUP($E38,DD!$A$2:$C$150,2,0)))</f>
        <v>Front dive tuck</v>
      </c>
      <c r="G38" s="58">
        <f>IF($E38="","",IF(ISNA(VLOOKUP($E38,DD!$A$2:$C$150,3,0)),"",VLOOKUP($E38,DD!$A$2:$C$150,3,0)))</f>
        <v>1.3</v>
      </c>
      <c r="H38" s="59">
        <v>5.5</v>
      </c>
      <c r="I38" s="59">
        <v>6.5</v>
      </c>
      <c r="J38" s="59">
        <v>6</v>
      </c>
      <c r="K38" s="59">
        <v>6</v>
      </c>
      <c r="L38" s="59">
        <v>7</v>
      </c>
      <c r="M38" s="56"/>
      <c r="N38" s="57">
        <f t="shared" si="1"/>
        <v>24.05</v>
      </c>
      <c r="O38" s="57">
        <f>IF(N38="","",N38)</f>
        <v>24.05</v>
      </c>
    </row>
    <row r="39" spans="1:15" x14ac:dyDescent="0.25">
      <c r="A39" s="100"/>
      <c r="B39" s="101"/>
      <c r="C39" s="102"/>
      <c r="D39" s="55">
        <v>2</v>
      </c>
      <c r="E39" s="61" t="s">
        <v>115</v>
      </c>
      <c r="F39" s="57" t="str">
        <f>IF($E39="","",IF(ISNA(VLOOKUP($E39,DD!$A$2:$C$150,2,0)),"NO SUCH DIVE",VLOOKUP($E39,DD!$A$2:$C$150,2,0)))</f>
        <v>Back dive layout</v>
      </c>
      <c r="G39" s="58">
        <f>IF($E39="","",IF(ISNA(VLOOKUP($E39,DD!$A$2:$C$150,3,0)),"",VLOOKUP($E39,DD!$A$2:$C$150,3,0)))</f>
        <v>1.4</v>
      </c>
      <c r="H39" s="59">
        <v>6</v>
      </c>
      <c r="I39" s="59">
        <v>5.5</v>
      </c>
      <c r="J39" s="59">
        <v>6</v>
      </c>
      <c r="K39" s="59">
        <v>5.5</v>
      </c>
      <c r="L39" s="59">
        <v>6.5</v>
      </c>
      <c r="M39" s="56"/>
      <c r="N39" s="57">
        <f t="shared" si="1"/>
        <v>24.5</v>
      </c>
      <c r="O39" s="57">
        <f>IF(N39="","",N39+O38)</f>
        <v>48.55</v>
      </c>
    </row>
    <row r="40" spans="1:15" x14ac:dyDescent="0.25">
      <c r="A40" s="100"/>
      <c r="B40" s="101"/>
      <c r="C40" s="102"/>
      <c r="D40" s="55">
        <v>3</v>
      </c>
      <c r="E40" s="56" t="s">
        <v>123</v>
      </c>
      <c r="F40" s="57" t="str">
        <f>IF($E40="","",IF(ISNA(VLOOKUP($E40,DD!$A$2:$C$150,2,0)),"NO SUCH DIVE",VLOOKUP($E40,DD!$A$2:$C$150,2,0)))</f>
        <v>Inward dive tuck</v>
      </c>
      <c r="G40" s="55">
        <f>IF($E40="","",IF(ISNA(VLOOKUP($E40,DD!$A$2:$C$150,3,0)),"",VLOOKUP($E40,DD!$A$2:$C$150,3,0)))</f>
        <v>1.5</v>
      </c>
      <c r="H40" s="59">
        <v>6</v>
      </c>
      <c r="I40" s="59">
        <v>5.5</v>
      </c>
      <c r="J40" s="59">
        <v>5.5</v>
      </c>
      <c r="K40" s="59">
        <v>5</v>
      </c>
      <c r="L40" s="59">
        <v>6</v>
      </c>
      <c r="M40" s="56"/>
      <c r="N40" s="57">
        <f t="shared" si="1"/>
        <v>25.5</v>
      </c>
      <c r="O40" s="57">
        <f>IF(N40="","",N40+O39)</f>
        <v>74.05</v>
      </c>
    </row>
    <row r="41" spans="1:15" x14ac:dyDescent="0.25">
      <c r="A41" s="100"/>
      <c r="B41" s="101"/>
      <c r="C41" s="102"/>
      <c r="D41" s="55">
        <v>4</v>
      </c>
      <c r="E41" s="56" t="s">
        <v>120</v>
      </c>
      <c r="F41" s="57" t="str">
        <f>IF($E41="","",IF(ISNA(VLOOKUP($E41,DD!$A$2:$C$150,2,0)),"NO SUCH DIVE",VLOOKUP($E41,DD!$A$2:$C$150,2,0)))</f>
        <v>Back dive ½ twist layout</v>
      </c>
      <c r="G41" s="55">
        <f>IF($E41="","",IF(ISNA(VLOOKUP($E41,DD!$A$2:$C$150,3,0)),"",VLOOKUP($E41,DD!$A$2:$C$150,3,0)))</f>
        <v>1.4</v>
      </c>
      <c r="H41" s="59">
        <v>5.5</v>
      </c>
      <c r="I41" s="59">
        <v>4</v>
      </c>
      <c r="J41" s="59">
        <v>5.5</v>
      </c>
      <c r="K41" s="59">
        <v>5</v>
      </c>
      <c r="L41" s="59">
        <v>5.5</v>
      </c>
      <c r="M41" s="56"/>
      <c r="N41" s="57">
        <f t="shared" si="1"/>
        <v>22.4</v>
      </c>
      <c r="O41" s="60">
        <f>IF(N41="",0,N41+O40)</f>
        <v>96.449999999999989</v>
      </c>
    </row>
    <row r="42" spans="1:15" ht="15" customHeight="1" x14ac:dyDescent="0.25">
      <c r="A42" s="97">
        <v>11</v>
      </c>
      <c r="B42" s="107" t="s">
        <v>124</v>
      </c>
      <c r="C42" s="106" t="s">
        <v>88</v>
      </c>
      <c r="D42" s="46">
        <v>1</v>
      </c>
      <c r="E42" s="50" t="s">
        <v>125</v>
      </c>
      <c r="F42" s="45" t="str">
        <f>IF($E42="","",IF(ISNA(VLOOKUP($E42,DD!$A$2:$C$150,2,0)),"NO SUCH DIVE",VLOOKUP($E42,DD!$A$2:$C$150,2,0)))</f>
        <v>Front jump layout</v>
      </c>
      <c r="G42" s="51">
        <f>IF($E42="","",IF(ISNA(VLOOKUP($E42,DD!$A$2:$C$150,3,0)),"",VLOOKUP($E42,DD!$A$2:$C$150,3,0)))</f>
        <v>0.5</v>
      </c>
      <c r="H42" s="52">
        <v>5.5</v>
      </c>
      <c r="I42" s="52">
        <v>5.5</v>
      </c>
      <c r="J42" s="52">
        <v>5.5</v>
      </c>
      <c r="K42" s="52">
        <v>6.5</v>
      </c>
      <c r="L42" s="52">
        <v>6</v>
      </c>
      <c r="M42" s="50"/>
      <c r="N42" s="45">
        <f t="shared" si="1"/>
        <v>8.5</v>
      </c>
      <c r="O42" s="45">
        <f>IF(N42="","",N42)</f>
        <v>8.5</v>
      </c>
    </row>
    <row r="43" spans="1:15" x14ac:dyDescent="0.25">
      <c r="A43" s="97"/>
      <c r="B43" s="107"/>
      <c r="C43" s="106"/>
      <c r="D43" s="46">
        <v>2</v>
      </c>
      <c r="E43" s="50" t="s">
        <v>120</v>
      </c>
      <c r="F43" s="45" t="str">
        <f>IF($E43="","",IF(ISNA(VLOOKUP($E43,DD!$A$2:$C$150,2,0)),"NO SUCH DIVE",VLOOKUP($E43,DD!$A$2:$C$150,2,0)))</f>
        <v>Back dive ½ twist layout</v>
      </c>
      <c r="G43" s="51">
        <f>IF($E43="","",IF(ISNA(VLOOKUP($E43,DD!$A$2:$C$150,3,0)),"",VLOOKUP($E43,DD!$A$2:$C$150,3,0)))</f>
        <v>1.4</v>
      </c>
      <c r="H43" s="52">
        <v>4</v>
      </c>
      <c r="I43" s="52">
        <v>4</v>
      </c>
      <c r="J43" s="52">
        <v>4.5</v>
      </c>
      <c r="K43" s="52">
        <v>4</v>
      </c>
      <c r="L43" s="52">
        <v>4.5</v>
      </c>
      <c r="M43" s="50"/>
      <c r="N43" s="45">
        <f t="shared" si="1"/>
        <v>17.5</v>
      </c>
      <c r="O43" s="45">
        <f>IF(N43="","",N43+O42)</f>
        <v>26</v>
      </c>
    </row>
    <row r="44" spans="1:15" x14ac:dyDescent="0.25">
      <c r="A44" s="97"/>
      <c r="B44" s="107"/>
      <c r="C44" s="106"/>
      <c r="D44" s="46">
        <v>3</v>
      </c>
      <c r="E44" s="50" t="s">
        <v>116</v>
      </c>
      <c r="F44" s="45" t="str">
        <f>IF($E44="","",IF(ISNA(VLOOKUP($E44,DD!$A$2:$C$150,2,0)),"NO SUCH DIVE",VLOOKUP($E44,DD!$A$2:$C$150,2,0)))</f>
        <v>Front dive layout</v>
      </c>
      <c r="G44" s="46">
        <f>IF($E44="","",IF(ISNA(VLOOKUP($E44,DD!$A$2:$C$150,3,0)),"",VLOOKUP($E44,DD!$A$2:$C$150,3,0)))</f>
        <v>1.3</v>
      </c>
      <c r="H44" s="52">
        <v>4.5</v>
      </c>
      <c r="I44" s="52">
        <v>5.5</v>
      </c>
      <c r="J44" s="52">
        <v>5.5</v>
      </c>
      <c r="K44" s="52">
        <v>5</v>
      </c>
      <c r="L44" s="52">
        <v>5.5</v>
      </c>
      <c r="M44" s="50"/>
      <c r="N44" s="45">
        <f t="shared" si="1"/>
        <v>20.8</v>
      </c>
      <c r="O44" s="45">
        <f>IF(N44="","",N44+O43)</f>
        <v>46.8</v>
      </c>
    </row>
    <row r="45" spans="1:15" x14ac:dyDescent="0.25">
      <c r="A45" s="97"/>
      <c r="B45" s="107"/>
      <c r="C45" s="106"/>
      <c r="D45" s="46">
        <v>4</v>
      </c>
      <c r="E45" s="50" t="s">
        <v>115</v>
      </c>
      <c r="F45" s="45" t="str">
        <f>IF($E45="","",IF(ISNA(VLOOKUP($E45,DD!$A$2:$C$150,2,0)),"NO SUCH DIVE",VLOOKUP($E45,DD!$A$2:$C$150,2,0)))</f>
        <v>Back dive layout</v>
      </c>
      <c r="G45" s="46">
        <f>IF($E45="","",IF(ISNA(VLOOKUP($E45,DD!$A$2:$C$150,3,0)),"",VLOOKUP($E45,DD!$A$2:$C$150,3,0)))</f>
        <v>1.4</v>
      </c>
      <c r="H45" s="52">
        <v>5</v>
      </c>
      <c r="I45" s="52">
        <v>5.5</v>
      </c>
      <c r="J45" s="52">
        <v>5.5</v>
      </c>
      <c r="K45" s="52">
        <v>5</v>
      </c>
      <c r="L45" s="52">
        <v>5.5</v>
      </c>
      <c r="M45" s="50"/>
      <c r="N45" s="45">
        <f t="shared" si="1"/>
        <v>22.4</v>
      </c>
      <c r="O45" s="54">
        <f>IF(N45="",0,N45+O44)</f>
        <v>69.199999999999989</v>
      </c>
    </row>
    <row r="46" spans="1:15" x14ac:dyDescent="0.25">
      <c r="A46" s="100">
        <v>12</v>
      </c>
      <c r="B46" s="101"/>
      <c r="C46" s="102"/>
      <c r="D46" s="55">
        <v>1</v>
      </c>
      <c r="E46" s="56"/>
      <c r="F46" s="57" t="str">
        <f>IF($E46="","",IF(ISNA(VLOOKUP($E46,DD!$A$2:$C$150,2,0)),"NO SUCH DIVE",VLOOKUP($E46,DD!$A$2:$C$150,2,0)))</f>
        <v/>
      </c>
      <c r="G46" s="58" t="str">
        <f>IF($E46="","",IF(ISNA(VLOOKUP($E46,DD!$A$2:$C$150,3,0)),"",VLOOKUP($E46,DD!$A$2:$C$150,3,0)))</f>
        <v/>
      </c>
      <c r="H46" s="59"/>
      <c r="I46" s="59"/>
      <c r="J46" s="59"/>
      <c r="K46" s="59"/>
      <c r="L46" s="59"/>
      <c r="M46" s="56"/>
      <c r="N46" s="57" t="str">
        <f t="shared" si="1"/>
        <v/>
      </c>
      <c r="O46" s="57" t="str">
        <f>IF(N46="","",N46)</f>
        <v/>
      </c>
    </row>
    <row r="47" spans="1:15" x14ac:dyDescent="0.25">
      <c r="A47" s="100"/>
      <c r="B47" s="101"/>
      <c r="C47" s="102"/>
      <c r="D47" s="55">
        <v>2</v>
      </c>
      <c r="E47" s="61"/>
      <c r="F47" s="57" t="str">
        <f>IF($E47="","",IF(ISNA(VLOOKUP($E47,DD!$A$2:$C$150,2,0)),"NO SUCH DIVE",VLOOKUP($E47,DD!$A$2:$C$150,2,0)))</f>
        <v/>
      </c>
      <c r="G47" s="58" t="str">
        <f>IF($E47="","",IF(ISNA(VLOOKUP($E47,DD!$A$2:$C$150,3,0)),"",VLOOKUP($E47,DD!$A$2:$C$150,3,0)))</f>
        <v/>
      </c>
      <c r="H47" s="59"/>
      <c r="I47" s="59"/>
      <c r="J47" s="59"/>
      <c r="K47" s="59"/>
      <c r="L47" s="59"/>
      <c r="M47" s="56"/>
      <c r="N47" s="57" t="str">
        <f t="shared" si="1"/>
        <v/>
      </c>
      <c r="O47" s="57" t="str">
        <f>IF(N47="","",N47+O46)</f>
        <v/>
      </c>
    </row>
    <row r="48" spans="1:15" x14ac:dyDescent="0.25">
      <c r="A48" s="100"/>
      <c r="B48" s="101"/>
      <c r="C48" s="102"/>
      <c r="D48" s="55">
        <v>3</v>
      </c>
      <c r="E48" s="61"/>
      <c r="F48" s="57" t="str">
        <f>IF($E48="","",IF(ISNA(VLOOKUP($E48,DD!$A$2:$C$150,2,0)),"NO SUCH DIVE",VLOOKUP($E48,DD!$A$2:$C$150,2,0)))</f>
        <v/>
      </c>
      <c r="G48" s="55" t="str">
        <f>IF($E48="","",IF(ISNA(VLOOKUP($E48,DD!$A$2:$C$150,3,0)),"",VLOOKUP($E48,DD!$A$2:$C$150,3,0)))</f>
        <v/>
      </c>
      <c r="H48" s="59"/>
      <c r="I48" s="59"/>
      <c r="J48" s="59"/>
      <c r="K48" s="59"/>
      <c r="L48" s="59"/>
      <c r="M48" s="56"/>
      <c r="N48" s="57" t="str">
        <f t="shared" si="1"/>
        <v/>
      </c>
      <c r="O48" s="57" t="str">
        <f>IF(N48="","",N48+O47)</f>
        <v/>
      </c>
    </row>
    <row r="49" spans="1:15" x14ac:dyDescent="0.25">
      <c r="A49" s="100"/>
      <c r="B49" s="101"/>
      <c r="C49" s="102"/>
      <c r="D49" s="55">
        <v>4</v>
      </c>
      <c r="E49" s="61"/>
      <c r="F49" s="57" t="str">
        <f>IF($E49="","",IF(ISNA(VLOOKUP($E49,DD!$A$2:$C$150,2,0)),"NO SUCH DIVE",VLOOKUP($E49,DD!$A$2:$C$150,2,0)))</f>
        <v/>
      </c>
      <c r="G49" s="55" t="str">
        <f>IF($E49="","",IF(ISNA(VLOOKUP($E49,DD!$A$2:$C$150,3,0)),"",VLOOKUP($E49,DD!$A$2:$C$150,3,0)))</f>
        <v/>
      </c>
      <c r="H49" s="59"/>
      <c r="I49" s="59"/>
      <c r="J49" s="59"/>
      <c r="K49" s="59"/>
      <c r="L49" s="59"/>
      <c r="M49" s="56"/>
      <c r="N49" s="57" t="str">
        <f t="shared" si="1"/>
        <v/>
      </c>
      <c r="O49" s="60">
        <f>IF(N49="",0,N49+O48)</f>
        <v>0</v>
      </c>
    </row>
    <row r="50" spans="1:15" ht="15" customHeight="1" x14ac:dyDescent="0.25">
      <c r="A50" s="97">
        <v>13</v>
      </c>
      <c r="B50" s="107" t="s">
        <v>126</v>
      </c>
      <c r="C50" s="106" t="s">
        <v>57</v>
      </c>
      <c r="D50" s="46">
        <v>1</v>
      </c>
      <c r="E50" s="50" t="s">
        <v>89</v>
      </c>
      <c r="F50" s="45" t="str">
        <f>IF($E50="","",IF(ISNA(VLOOKUP($E50,DD!$A$2:$C$150,2,0)),"NO SUCH DIVE",VLOOKUP($E50,DD!$A$2:$C$150,2,0)))</f>
        <v>Front dive tuck</v>
      </c>
      <c r="G50" s="51">
        <f>IF($E50="","",IF(ISNA(VLOOKUP($E50,DD!$A$2:$C$150,3,0)),"",VLOOKUP($E50,DD!$A$2:$C$150,3,0)))</f>
        <v>1.3</v>
      </c>
      <c r="H50" s="52">
        <v>7</v>
      </c>
      <c r="I50" s="52">
        <v>7</v>
      </c>
      <c r="J50" s="52">
        <v>6.5</v>
      </c>
      <c r="K50" s="52">
        <v>7</v>
      </c>
      <c r="L50" s="52">
        <v>7.5</v>
      </c>
      <c r="M50" s="50"/>
      <c r="N50" s="45">
        <f t="shared" si="1"/>
        <v>27.3</v>
      </c>
      <c r="O50" s="45">
        <f>IF(N50="","",N50)</f>
        <v>27.3</v>
      </c>
    </row>
    <row r="51" spans="1:15" x14ac:dyDescent="0.25">
      <c r="A51" s="97"/>
      <c r="B51" s="107"/>
      <c r="C51" s="106"/>
      <c r="D51" s="46">
        <v>2</v>
      </c>
      <c r="E51" s="50" t="s">
        <v>96</v>
      </c>
      <c r="F51" s="45" t="str">
        <f>IF($E51="","",IF(ISNA(VLOOKUP($E51,DD!$A$2:$C$150,2,0)),"NO SUCH DIVE",VLOOKUP($E51,DD!$A$2:$C$150,2,0)))</f>
        <v>Inward dive tuck</v>
      </c>
      <c r="G51" s="51">
        <f>IF($E51="","",IF(ISNA(VLOOKUP($E51,DD!$A$2:$C$150,3,0)),"",VLOOKUP($E51,DD!$A$2:$C$150,3,0)))</f>
        <v>1.5</v>
      </c>
      <c r="H51" s="52">
        <v>6</v>
      </c>
      <c r="I51" s="52">
        <v>6</v>
      </c>
      <c r="J51" s="52">
        <v>5</v>
      </c>
      <c r="K51" s="52">
        <v>5.5</v>
      </c>
      <c r="L51" s="52">
        <v>5</v>
      </c>
      <c r="M51" s="50"/>
      <c r="N51" s="45">
        <f t="shared" si="1"/>
        <v>24.75</v>
      </c>
      <c r="O51" s="45">
        <f>IF(N51="","",N51+O50)</f>
        <v>52.05</v>
      </c>
    </row>
    <row r="52" spans="1:15" x14ac:dyDescent="0.25">
      <c r="A52" s="97"/>
      <c r="B52" s="107"/>
      <c r="C52" s="106"/>
      <c r="D52" s="46">
        <v>3</v>
      </c>
      <c r="E52" s="50" t="s">
        <v>72</v>
      </c>
      <c r="F52" s="45" t="str">
        <f>IF($E52="","",IF(ISNA(VLOOKUP($E52,DD!$A$2:$C$150,2,0)),"NO SUCH DIVE",VLOOKUP($E52,DD!$A$2:$C$150,2,0)))</f>
        <v>Front somersault tuck</v>
      </c>
      <c r="G52" s="46">
        <f>IF($E52="","",IF(ISNA(VLOOKUP($E52,DD!$A$2:$C$150,3,0)),"",VLOOKUP($E52,DD!$A$2:$C$150,3,0)))</f>
        <v>1.4</v>
      </c>
      <c r="H52" s="52">
        <v>5.5</v>
      </c>
      <c r="I52" s="52">
        <v>5.5</v>
      </c>
      <c r="J52" s="52">
        <v>6.5</v>
      </c>
      <c r="K52" s="52">
        <v>5</v>
      </c>
      <c r="L52" s="52">
        <v>6.5</v>
      </c>
      <c r="M52" s="50"/>
      <c r="N52" s="45">
        <f t="shared" si="1"/>
        <v>24.5</v>
      </c>
      <c r="O52" s="45">
        <f>IF(N52="","",N52+O51)</f>
        <v>76.55</v>
      </c>
    </row>
    <row r="53" spans="1:15" x14ac:dyDescent="0.25">
      <c r="A53" s="97"/>
      <c r="B53" s="107"/>
      <c r="C53" s="106"/>
      <c r="D53" s="46">
        <v>4</v>
      </c>
      <c r="E53" s="50" t="s">
        <v>58</v>
      </c>
      <c r="F53" s="45" t="str">
        <f>IF($E53="","",IF(ISNA(VLOOKUP($E53,DD!$A$2:$C$150,2,0)),"NO SUCH DIVE",VLOOKUP($E53,DD!$A$2:$C$150,2,0)))</f>
        <v>Back dive layout</v>
      </c>
      <c r="G53" s="46">
        <f>IF($E53="","",IF(ISNA(VLOOKUP($E53,DD!$A$2:$C$150,3,0)),"",VLOOKUP($E53,DD!$A$2:$C$150,3,0)))</f>
        <v>1.4</v>
      </c>
      <c r="H53" s="52">
        <v>8</v>
      </c>
      <c r="I53" s="52">
        <v>7.5</v>
      </c>
      <c r="J53" s="52">
        <v>5.5</v>
      </c>
      <c r="K53" s="52">
        <v>6.5</v>
      </c>
      <c r="L53" s="52">
        <v>7</v>
      </c>
      <c r="M53" s="50"/>
      <c r="N53" s="45">
        <f t="shared" si="1"/>
        <v>29.4</v>
      </c>
      <c r="O53" s="54">
        <f>IF(N53="",0,N53+O52)</f>
        <v>105.94999999999999</v>
      </c>
    </row>
    <row r="54" spans="1:15" ht="15" customHeight="1" x14ac:dyDescent="0.25">
      <c r="A54" s="100">
        <v>14</v>
      </c>
      <c r="B54" s="101" t="s">
        <v>127</v>
      </c>
      <c r="C54" s="102" t="s">
        <v>44</v>
      </c>
      <c r="D54" s="55">
        <v>1</v>
      </c>
      <c r="E54" s="56" t="s">
        <v>45</v>
      </c>
      <c r="F54" s="57" t="str">
        <f>IF($E54="","",IF(ISNA(VLOOKUP($E54,DD!$A$2:$C$150,2,0)),"NO SUCH DIVE",VLOOKUP($E54,DD!$A$2:$C$150,2,0)))</f>
        <v>Front jump tuck</v>
      </c>
      <c r="G54" s="58">
        <f>IF($E54="","",IF(ISNA(VLOOKUP($E54,DD!$A$2:$C$150,3,0)),"",VLOOKUP($E54,DD!$A$2:$C$150,3,0)))</f>
        <v>0.6</v>
      </c>
      <c r="H54" s="59">
        <v>6</v>
      </c>
      <c r="I54" s="59">
        <v>5.5</v>
      </c>
      <c r="J54" s="59">
        <v>5.5</v>
      </c>
      <c r="K54" s="59">
        <v>7</v>
      </c>
      <c r="L54" s="59">
        <v>5.5</v>
      </c>
      <c r="M54" s="56"/>
      <c r="N54" s="57">
        <f t="shared" si="1"/>
        <v>10.199999999999999</v>
      </c>
      <c r="O54" s="57">
        <f>IF(N54="","",N54)</f>
        <v>10.199999999999999</v>
      </c>
    </row>
    <row r="55" spans="1:15" x14ac:dyDescent="0.25">
      <c r="A55" s="100"/>
      <c r="B55" s="101"/>
      <c r="C55" s="102"/>
      <c r="D55" s="55">
        <v>2</v>
      </c>
      <c r="E55" s="56" t="s">
        <v>58</v>
      </c>
      <c r="F55" s="57" t="str">
        <f>IF($E55="","",IF(ISNA(VLOOKUP($E55,DD!$A$2:$C$150,2,0)),"NO SUCH DIVE",VLOOKUP($E55,DD!$A$2:$C$150,2,0)))</f>
        <v>Back dive layout</v>
      </c>
      <c r="G55" s="58">
        <f>IF($E55="","",IF(ISNA(VLOOKUP($E55,DD!$A$2:$C$150,3,0)),"",VLOOKUP($E55,DD!$A$2:$C$150,3,0)))</f>
        <v>1.4</v>
      </c>
      <c r="H55" s="59">
        <v>5</v>
      </c>
      <c r="I55" s="59">
        <v>4</v>
      </c>
      <c r="J55" s="59">
        <v>4.5</v>
      </c>
      <c r="K55" s="59">
        <v>4.5</v>
      </c>
      <c r="L55" s="59">
        <v>4.5</v>
      </c>
      <c r="M55" s="56"/>
      <c r="N55" s="57">
        <f t="shared" si="1"/>
        <v>18.899999999999999</v>
      </c>
      <c r="O55" s="57">
        <f>IF(N55="","",N55+O54)</f>
        <v>29.099999999999998</v>
      </c>
    </row>
    <row r="56" spans="1:15" x14ac:dyDescent="0.25">
      <c r="A56" s="100"/>
      <c r="B56" s="101"/>
      <c r="C56" s="102"/>
      <c r="D56" s="55">
        <v>3</v>
      </c>
      <c r="E56" s="56" t="s">
        <v>64</v>
      </c>
      <c r="F56" s="57" t="str">
        <f>IF($E56="","",IF(ISNA(VLOOKUP($E56,DD!$A$2:$C$150,2,0)),"NO SUCH DIVE",VLOOKUP($E56,DD!$A$2:$C$150,2,0)))</f>
        <v>Back dive ½ twist layout</v>
      </c>
      <c r="G56" s="55">
        <f>IF($E56="","",IF(ISNA(VLOOKUP($E56,DD!$A$2:$C$150,3,0)),"",VLOOKUP($E56,DD!$A$2:$C$150,3,0)))</f>
        <v>1.4</v>
      </c>
      <c r="H56" s="59">
        <v>4.5</v>
      </c>
      <c r="I56" s="59">
        <v>4.5</v>
      </c>
      <c r="J56" s="59">
        <v>4.5</v>
      </c>
      <c r="K56" s="59">
        <v>4.5</v>
      </c>
      <c r="L56" s="59">
        <v>4.5</v>
      </c>
      <c r="M56" s="56"/>
      <c r="N56" s="57">
        <f t="shared" si="1"/>
        <v>18.899999999999999</v>
      </c>
      <c r="O56" s="57">
        <f>IF(N56="","",N56+O55)</f>
        <v>48</v>
      </c>
    </row>
    <row r="57" spans="1:15" x14ac:dyDescent="0.25">
      <c r="A57" s="100"/>
      <c r="B57" s="101"/>
      <c r="C57" s="102"/>
      <c r="D57" s="55">
        <v>4</v>
      </c>
      <c r="E57" s="56" t="s">
        <v>54</v>
      </c>
      <c r="F57" s="57" t="str">
        <f>IF($E57="","",IF(ISNA(VLOOKUP($E57,DD!$A$2:$C$150,2,0)),"NO SUCH DIVE",VLOOKUP($E57,DD!$A$2:$C$150,2,0)))</f>
        <v>Front dive layout</v>
      </c>
      <c r="G57" s="55">
        <f>IF($E57="","",IF(ISNA(VLOOKUP($E57,DD!$A$2:$C$150,3,0)),"",VLOOKUP($E57,DD!$A$2:$C$150,3,0)))</f>
        <v>1.3</v>
      </c>
      <c r="H57" s="59">
        <v>5.5</v>
      </c>
      <c r="I57" s="59">
        <v>5.5</v>
      </c>
      <c r="J57" s="59">
        <v>5</v>
      </c>
      <c r="K57" s="59">
        <v>5</v>
      </c>
      <c r="L57" s="59">
        <v>5.5</v>
      </c>
      <c r="M57" s="56"/>
      <c r="N57" s="57">
        <f t="shared" si="1"/>
        <v>20.8</v>
      </c>
      <c r="O57" s="60">
        <f>IF(N57="",0,N57+O56)</f>
        <v>68.8</v>
      </c>
    </row>
    <row r="58" spans="1:15" x14ac:dyDescent="0.25">
      <c r="A58" s="97">
        <v>15</v>
      </c>
      <c r="B58" s="107"/>
      <c r="C58" s="106"/>
      <c r="D58" s="46">
        <v>1</v>
      </c>
      <c r="E58" s="50"/>
      <c r="F58" s="45" t="str">
        <f>IF($E58="","",IF(ISNA(VLOOKUP($E58,DD!$A$2:$C$150,2,0)),"NO SUCH DIVE",VLOOKUP($E58,DD!$A$2:$C$150,2,0)))</f>
        <v/>
      </c>
      <c r="G58" s="51" t="str">
        <f>IF($E58="","",IF(ISNA(VLOOKUP($E58,DD!$A$2:$C$150,3,0)),"",VLOOKUP($E58,DD!$A$2:$C$150,3,0)))</f>
        <v/>
      </c>
      <c r="H58" s="52"/>
      <c r="I58" s="52"/>
      <c r="J58" s="52"/>
      <c r="K58" s="52"/>
      <c r="L58" s="52"/>
      <c r="M58" s="50"/>
      <c r="N58" s="45" t="str">
        <f t="shared" si="1"/>
        <v/>
      </c>
      <c r="O58" s="45" t="str">
        <f>IF(N58="","",N58)</f>
        <v/>
      </c>
    </row>
    <row r="59" spans="1:15" x14ac:dyDescent="0.25">
      <c r="A59" s="97"/>
      <c r="B59" s="107"/>
      <c r="C59" s="106"/>
      <c r="D59" s="46">
        <v>2</v>
      </c>
      <c r="E59" s="62"/>
      <c r="F59" s="45" t="str">
        <f>IF($E59="","",IF(ISNA(VLOOKUP($E59,DD!$A$2:$C$150,2,0)),"NO SUCH DIVE",VLOOKUP($E59,DD!$A$2:$C$150,2,0)))</f>
        <v/>
      </c>
      <c r="G59" s="51" t="str">
        <f>IF($E59="","",IF(ISNA(VLOOKUP($E59,DD!$A$2:$C$150,3,0)),"",VLOOKUP($E59,DD!$A$2:$C$150,3,0)))</f>
        <v/>
      </c>
      <c r="H59" s="52"/>
      <c r="I59" s="52"/>
      <c r="J59" s="52"/>
      <c r="K59" s="52"/>
      <c r="L59" s="52"/>
      <c r="M59" s="50"/>
      <c r="N59" s="45" t="str">
        <f t="shared" si="1"/>
        <v/>
      </c>
      <c r="O59" s="45" t="str">
        <f>IF(N59="","",N59+O58)</f>
        <v/>
      </c>
    </row>
    <row r="60" spans="1:15" x14ac:dyDescent="0.25">
      <c r="A60" s="97"/>
      <c r="B60" s="107"/>
      <c r="C60" s="106"/>
      <c r="D60" s="46">
        <v>3</v>
      </c>
      <c r="E60" s="50"/>
      <c r="F60" s="45" t="str">
        <f>IF($E60="","",IF(ISNA(VLOOKUP($E60,DD!$A$2:$C$150,2,0)),"NO SUCH DIVE",VLOOKUP($E60,DD!$A$2:$C$150,2,0)))</f>
        <v/>
      </c>
      <c r="G60" s="46" t="str">
        <f>IF($E60="","",IF(ISNA(VLOOKUP($E60,DD!$A$2:$C$150,3,0)),"",VLOOKUP($E60,DD!$A$2:$C$150,3,0)))</f>
        <v/>
      </c>
      <c r="H60" s="52"/>
      <c r="I60" s="52"/>
      <c r="J60" s="52"/>
      <c r="K60" s="52"/>
      <c r="L60" s="52"/>
      <c r="M60" s="50"/>
      <c r="N60" s="45" t="str">
        <f t="shared" si="1"/>
        <v/>
      </c>
      <c r="O60" s="45" t="str">
        <f>IF(N60="","",N60+O59)</f>
        <v/>
      </c>
    </row>
    <row r="61" spans="1:15" x14ac:dyDescent="0.25">
      <c r="A61" s="97"/>
      <c r="B61" s="107"/>
      <c r="C61" s="106"/>
      <c r="D61" s="46">
        <v>4</v>
      </c>
      <c r="E61" s="62"/>
      <c r="F61" s="45" t="str">
        <f>IF($E61="","",IF(ISNA(VLOOKUP($E61,DD!$A$2:$C$150,2,0)),"NO SUCH DIVE",VLOOKUP($E61,DD!$A$2:$C$150,2,0)))</f>
        <v/>
      </c>
      <c r="G61" s="46" t="str">
        <f>IF($E61="","",IF(ISNA(VLOOKUP($E61,DD!$A$2:$C$150,3,0)),"",VLOOKUP($E61,DD!$A$2:$C$150,3,0)))</f>
        <v/>
      </c>
      <c r="H61" s="52"/>
      <c r="I61" s="52"/>
      <c r="J61" s="52"/>
      <c r="K61" s="52"/>
      <c r="L61" s="52"/>
      <c r="M61" s="50"/>
      <c r="N61" s="45" t="str">
        <f t="shared" si="1"/>
        <v/>
      </c>
      <c r="O61" s="54">
        <f>IF(N61="",0,N61+O60)</f>
        <v>0</v>
      </c>
    </row>
    <row r="62" spans="1:15" ht="15" customHeight="1" x14ac:dyDescent="0.25">
      <c r="A62" s="100">
        <v>16</v>
      </c>
      <c r="B62" s="101" t="s">
        <v>128</v>
      </c>
      <c r="C62" s="102" t="s">
        <v>83</v>
      </c>
      <c r="D62" s="55">
        <v>1</v>
      </c>
      <c r="E62" s="56" t="s">
        <v>86</v>
      </c>
      <c r="F62" s="57" t="str">
        <f>IF($E62="","",IF(ISNA(VLOOKUP($E62,DD!$A$2:$C$150,2,0)),"NO SUCH DIVE",VLOOKUP($E62,DD!$A$2:$C$150,2,0)))</f>
        <v>Front jump tuck</v>
      </c>
      <c r="G62" s="58">
        <f>IF($E62="","",IF(ISNA(VLOOKUP($E62,DD!$A$2:$C$150,3,0)),"",VLOOKUP($E62,DD!$A$2:$C$150,3,0)))</f>
        <v>0.6</v>
      </c>
      <c r="H62" s="59">
        <v>6.5</v>
      </c>
      <c r="I62" s="59">
        <v>6</v>
      </c>
      <c r="J62" s="59">
        <v>6</v>
      </c>
      <c r="K62" s="59">
        <v>7</v>
      </c>
      <c r="L62" s="59">
        <v>6.5</v>
      </c>
      <c r="M62" s="56"/>
      <c r="N62" s="57">
        <f t="shared" si="1"/>
        <v>11.4</v>
      </c>
      <c r="O62" s="57">
        <f>IF(N62="","",N62)</f>
        <v>11.4</v>
      </c>
    </row>
    <row r="63" spans="1:15" x14ac:dyDescent="0.25">
      <c r="A63" s="100"/>
      <c r="B63" s="101"/>
      <c r="C63" s="102"/>
      <c r="D63" s="55">
        <v>2</v>
      </c>
      <c r="E63" s="56" t="s">
        <v>129</v>
      </c>
      <c r="F63" s="57" t="str">
        <f>IF($E63="","",IF(ISNA(VLOOKUP($E63,DD!$A$2:$C$150,2,0)),"NO SUCH DIVE",VLOOKUP($E63,DD!$A$2:$C$150,2,0)))</f>
        <v>Back fall in</v>
      </c>
      <c r="G63" s="58">
        <f>IF($E63="","",IF(ISNA(VLOOKUP($E63,DD!$A$2:$C$150,3,0)),"",VLOOKUP($E63,DD!$A$2:$C$150,3,0)))</f>
        <v>1</v>
      </c>
      <c r="H63" s="59">
        <v>6</v>
      </c>
      <c r="I63" s="59">
        <v>6</v>
      </c>
      <c r="J63" s="59">
        <v>5.5</v>
      </c>
      <c r="K63" s="59">
        <v>6</v>
      </c>
      <c r="L63" s="59">
        <v>5.5</v>
      </c>
      <c r="M63" s="56"/>
      <c r="N63" s="57">
        <f t="shared" si="1"/>
        <v>17.5</v>
      </c>
      <c r="O63" s="57">
        <f>IF(N63="","",N63+O62)</f>
        <v>28.9</v>
      </c>
    </row>
    <row r="64" spans="1:15" x14ac:dyDescent="0.25">
      <c r="A64" s="100"/>
      <c r="B64" s="101"/>
      <c r="C64" s="102"/>
      <c r="D64" s="55">
        <v>3</v>
      </c>
      <c r="E64" s="56" t="s">
        <v>116</v>
      </c>
      <c r="F64" s="57" t="str">
        <f>IF($E64="","",IF(ISNA(VLOOKUP($E64,DD!$A$2:$C$150,2,0)),"NO SUCH DIVE",VLOOKUP($E64,DD!$A$2:$C$150,2,0)))</f>
        <v>Front dive layout</v>
      </c>
      <c r="G64" s="55">
        <f>IF($E64="","",IF(ISNA(VLOOKUP($E64,DD!$A$2:$C$150,3,0)),"",VLOOKUP($E64,DD!$A$2:$C$150,3,0)))</f>
        <v>1.3</v>
      </c>
      <c r="H64" s="59">
        <v>5</v>
      </c>
      <c r="I64" s="59">
        <v>5.5</v>
      </c>
      <c r="J64" s="59">
        <v>5.5</v>
      </c>
      <c r="K64" s="59">
        <v>5.5</v>
      </c>
      <c r="L64" s="59">
        <v>5.5</v>
      </c>
      <c r="M64" s="56"/>
      <c r="N64" s="57">
        <f t="shared" si="1"/>
        <v>21.45</v>
      </c>
      <c r="O64" s="57">
        <f>IF(N64="","",N64+O63)</f>
        <v>50.349999999999994</v>
      </c>
    </row>
    <row r="65" spans="1:15" x14ac:dyDescent="0.25">
      <c r="A65" s="100"/>
      <c r="B65" s="101"/>
      <c r="C65" s="102"/>
      <c r="D65" s="55">
        <v>4</v>
      </c>
      <c r="E65" s="56" t="s">
        <v>120</v>
      </c>
      <c r="F65" s="57" t="str">
        <f>IF($E65="","",IF(ISNA(VLOOKUP($E65,DD!$A$2:$C$150,2,0)),"NO SUCH DIVE",VLOOKUP($E65,DD!$A$2:$C$150,2,0)))</f>
        <v>Back dive ½ twist layout</v>
      </c>
      <c r="G65" s="55">
        <f>IF($E65="","",IF(ISNA(VLOOKUP($E65,DD!$A$2:$C$150,3,0)),"",VLOOKUP($E65,DD!$A$2:$C$150,3,0)))</f>
        <v>1.4</v>
      </c>
      <c r="H65" s="59">
        <v>4.5</v>
      </c>
      <c r="I65" s="59">
        <v>4.5</v>
      </c>
      <c r="J65" s="59">
        <v>4.5</v>
      </c>
      <c r="K65" s="59">
        <v>4.5</v>
      </c>
      <c r="L65" s="59">
        <v>4.5</v>
      </c>
      <c r="M65" s="56"/>
      <c r="N65" s="57">
        <f t="shared" si="1"/>
        <v>18.899999999999999</v>
      </c>
      <c r="O65" s="60">
        <f>IF(N65="",0,N65+O64)</f>
        <v>69.25</v>
      </c>
    </row>
    <row r="66" spans="1:15" ht="15" customHeight="1" x14ac:dyDescent="0.25">
      <c r="A66" s="97">
        <v>17</v>
      </c>
      <c r="B66" s="107" t="s">
        <v>130</v>
      </c>
      <c r="C66" s="106" t="s">
        <v>76</v>
      </c>
      <c r="D66" s="46">
        <v>1</v>
      </c>
      <c r="E66" s="50" t="s">
        <v>131</v>
      </c>
      <c r="F66" s="45" t="str">
        <f>IF($E66="","",IF(ISNA(VLOOKUP($E66,DD!$A$2:$C$150,2,0)),"NO SUCH DIVE",VLOOKUP($E66,DD!$A$2:$C$150,2,0)))</f>
        <v>Front dive pike</v>
      </c>
      <c r="G66" s="51">
        <f>IF($E66="","",IF(ISNA(VLOOKUP($E66,DD!$A$2:$C$150,3,0)),"",VLOOKUP($E66,DD!$A$2:$C$150,3,0)))</f>
        <v>1.3</v>
      </c>
      <c r="H66" s="52">
        <v>6.5</v>
      </c>
      <c r="I66" s="52">
        <v>7.5</v>
      </c>
      <c r="J66" s="52">
        <v>7</v>
      </c>
      <c r="K66" s="52">
        <v>6.5</v>
      </c>
      <c r="L66" s="52">
        <v>7.5</v>
      </c>
      <c r="M66" s="50"/>
      <c r="N66" s="45">
        <f t="shared" ref="N66:N97" si="2">IF(G66="","",IF(COUNT(H66:L66)=3,IF(M66&lt;&gt;"",(SUM(H66:J66)-6)*G66,SUM(H66:J66)*G66),IF(M66&lt;&gt;"",(SUM(H66:L66)-MAX(H66:L66)-MIN(H66:L66)-6)*G66,(SUM(H66:L66)-MAX(H66:L66)-MIN(H66:L66))*G66)))</f>
        <v>27.3</v>
      </c>
      <c r="O66" s="45">
        <f>IF(N66="","",N66)</f>
        <v>27.3</v>
      </c>
    </row>
    <row r="67" spans="1:15" x14ac:dyDescent="0.25">
      <c r="A67" s="97"/>
      <c r="B67" s="107"/>
      <c r="C67" s="106"/>
      <c r="D67" s="46">
        <v>2</v>
      </c>
      <c r="E67" s="50" t="s">
        <v>132</v>
      </c>
      <c r="F67" s="45" t="str">
        <f>IF($E67="","",IF(ISNA(VLOOKUP($E67,DD!$A$2:$C$150,2,0)),"NO SUCH DIVE",VLOOKUP($E67,DD!$A$2:$C$150,2,0)))</f>
        <v>Back somersault layout</v>
      </c>
      <c r="G67" s="51">
        <f>IF($E67="","",IF(ISNA(VLOOKUP($E67,DD!$A$2:$C$150,3,0)),"",VLOOKUP($E67,DD!$A$2:$C$150,3,0)))</f>
        <v>1.7</v>
      </c>
      <c r="H67" s="52">
        <v>5</v>
      </c>
      <c r="I67" s="52">
        <v>6</v>
      </c>
      <c r="J67" s="52">
        <v>6</v>
      </c>
      <c r="K67" s="52">
        <v>5</v>
      </c>
      <c r="L67" s="52">
        <v>5</v>
      </c>
      <c r="M67" s="50"/>
      <c r="N67" s="45">
        <f t="shared" si="2"/>
        <v>27.2</v>
      </c>
      <c r="O67" s="45">
        <f>IF(N67="","",N67+O66)</f>
        <v>54.5</v>
      </c>
    </row>
    <row r="68" spans="1:15" x14ac:dyDescent="0.25">
      <c r="A68" s="97"/>
      <c r="B68" s="107"/>
      <c r="C68" s="106"/>
      <c r="D68" s="46">
        <v>3</v>
      </c>
      <c r="E68" s="50" t="s">
        <v>133</v>
      </c>
      <c r="F68" s="45" t="str">
        <f>IF($E68="","",IF(ISNA(VLOOKUP($E68,DD!$A$2:$C$150,2,0)),"NO SUCH DIVE",VLOOKUP($E68,DD!$A$2:$C$150,2,0)))</f>
        <v>Front somersault tuck</v>
      </c>
      <c r="G68" s="46">
        <f>IF($E68="","",IF(ISNA(VLOOKUP($E68,DD!$A$2:$C$150,3,0)),"",VLOOKUP($E68,DD!$A$2:$C$150,3,0)))</f>
        <v>1.4</v>
      </c>
      <c r="H68" s="52">
        <v>7</v>
      </c>
      <c r="I68" s="52">
        <v>7.5</v>
      </c>
      <c r="J68" s="52">
        <v>6.5</v>
      </c>
      <c r="K68" s="52">
        <v>7</v>
      </c>
      <c r="L68" s="52">
        <v>7.5</v>
      </c>
      <c r="M68" s="50"/>
      <c r="N68" s="45">
        <f t="shared" si="2"/>
        <v>30.099999999999998</v>
      </c>
      <c r="O68" s="45">
        <f>IF(N68="","",N68+O67)</f>
        <v>84.6</v>
      </c>
    </row>
    <row r="69" spans="1:15" x14ac:dyDescent="0.25">
      <c r="A69" s="97"/>
      <c r="B69" s="107"/>
      <c r="C69" s="106"/>
      <c r="D69" s="46">
        <v>4</v>
      </c>
      <c r="E69" s="50" t="s">
        <v>123</v>
      </c>
      <c r="F69" s="45" t="str">
        <f>IF($E69="","",IF(ISNA(VLOOKUP($E69,DD!$A$2:$C$150,2,0)),"NO SUCH DIVE",VLOOKUP($E69,DD!$A$2:$C$150,2,0)))</f>
        <v>Inward dive tuck</v>
      </c>
      <c r="G69" s="46">
        <f>IF($E69="","",IF(ISNA(VLOOKUP($E69,DD!$A$2:$C$150,3,0)),"",VLOOKUP($E69,DD!$A$2:$C$150,3,0)))</f>
        <v>1.5</v>
      </c>
      <c r="H69" s="52">
        <v>5.5</v>
      </c>
      <c r="I69" s="52">
        <v>5</v>
      </c>
      <c r="J69" s="52">
        <v>5</v>
      </c>
      <c r="K69" s="52">
        <v>4.5</v>
      </c>
      <c r="L69" s="52">
        <v>5.5</v>
      </c>
      <c r="M69" s="50"/>
      <c r="N69" s="45">
        <f t="shared" si="2"/>
        <v>23.25</v>
      </c>
      <c r="O69" s="54">
        <f>IF(N69="",0,N69+O68)</f>
        <v>107.85</v>
      </c>
    </row>
    <row r="70" spans="1:15" x14ac:dyDescent="0.25">
      <c r="A70" s="100">
        <v>18</v>
      </c>
      <c r="B70" s="101"/>
      <c r="C70" s="102"/>
      <c r="D70" s="55">
        <v>1</v>
      </c>
      <c r="E70" s="56"/>
      <c r="F70" s="57" t="str">
        <f>IF($E70="","",IF(ISNA(VLOOKUP($E70,DD!$A$2:$C$150,2,0)),"NO SUCH DIVE",VLOOKUP($E70,DD!$A$2:$C$150,2,0)))</f>
        <v/>
      </c>
      <c r="G70" s="58" t="str">
        <f>IF($E70="","",IF(ISNA(VLOOKUP($E70,DD!$A$2:$C$150,3,0)),"",VLOOKUP($E70,DD!$A$2:$C$150,3,0)))</f>
        <v/>
      </c>
      <c r="H70" s="59"/>
      <c r="I70" s="59"/>
      <c r="J70" s="59"/>
      <c r="K70" s="59"/>
      <c r="L70" s="59"/>
      <c r="M70" s="56"/>
      <c r="N70" s="57" t="str">
        <f t="shared" si="2"/>
        <v/>
      </c>
      <c r="O70" s="57" t="str">
        <f>IF(N70="","",N70)</f>
        <v/>
      </c>
    </row>
    <row r="71" spans="1:15" x14ac:dyDescent="0.25">
      <c r="A71" s="100"/>
      <c r="B71" s="101"/>
      <c r="C71" s="102"/>
      <c r="D71" s="55">
        <v>2</v>
      </c>
      <c r="E71" s="56"/>
      <c r="F71" s="57" t="str">
        <f>IF($E71="","",IF(ISNA(VLOOKUP($E71,DD!$A$2:$C$150,2,0)),"NO SUCH DIVE",VLOOKUP($E71,DD!$A$2:$C$150,2,0)))</f>
        <v/>
      </c>
      <c r="G71" s="58" t="str">
        <f>IF($E71="","",IF(ISNA(VLOOKUP($E71,DD!$A$2:$C$150,3,0)),"",VLOOKUP($E71,DD!$A$2:$C$150,3,0)))</f>
        <v/>
      </c>
      <c r="H71" s="59"/>
      <c r="I71" s="59"/>
      <c r="J71" s="59"/>
      <c r="K71" s="59"/>
      <c r="L71" s="59"/>
      <c r="M71" s="56"/>
      <c r="N71" s="57" t="str">
        <f t="shared" si="2"/>
        <v/>
      </c>
      <c r="O71" s="57" t="str">
        <f>IF(N71="","",N71+O70)</f>
        <v/>
      </c>
    </row>
    <row r="72" spans="1:15" x14ac:dyDescent="0.25">
      <c r="A72" s="100"/>
      <c r="B72" s="101"/>
      <c r="C72" s="102"/>
      <c r="D72" s="55">
        <v>3</v>
      </c>
      <c r="E72" s="61"/>
      <c r="F72" s="57" t="str">
        <f>IF($E72="","",IF(ISNA(VLOOKUP($E72,DD!$A$2:$C$150,2,0)),"NO SUCH DIVE",VLOOKUP($E72,DD!$A$2:$C$150,2,0)))</f>
        <v/>
      </c>
      <c r="G72" s="55" t="str">
        <f>IF($E72="","",IF(ISNA(VLOOKUP($E72,DD!$A$2:$C$150,3,0)),"",VLOOKUP($E72,DD!$A$2:$C$150,3,0)))</f>
        <v/>
      </c>
      <c r="H72" s="59"/>
      <c r="I72" s="59"/>
      <c r="J72" s="59"/>
      <c r="K72" s="59"/>
      <c r="L72" s="59"/>
      <c r="M72" s="56"/>
      <c r="N72" s="57" t="str">
        <f t="shared" si="2"/>
        <v/>
      </c>
      <c r="O72" s="57" t="str">
        <f>IF(N72="","",N72+O71)</f>
        <v/>
      </c>
    </row>
    <row r="73" spans="1:15" x14ac:dyDescent="0.25">
      <c r="A73" s="100"/>
      <c r="B73" s="101"/>
      <c r="C73" s="102"/>
      <c r="D73" s="55">
        <v>4</v>
      </c>
      <c r="E73" s="61"/>
      <c r="F73" s="57" t="str">
        <f>IF($E73="","",IF(ISNA(VLOOKUP($E73,DD!$A$2:$C$150,2,0)),"NO SUCH DIVE",VLOOKUP($E73,DD!$A$2:$C$150,2,0)))</f>
        <v/>
      </c>
      <c r="G73" s="55" t="str">
        <f>IF($E73="","",IF(ISNA(VLOOKUP($E73,DD!$A$2:$C$150,3,0)),"",VLOOKUP($E73,DD!$A$2:$C$150,3,0)))</f>
        <v/>
      </c>
      <c r="H73" s="59"/>
      <c r="I73" s="59"/>
      <c r="J73" s="59"/>
      <c r="K73" s="59"/>
      <c r="L73" s="59"/>
      <c r="M73" s="56"/>
      <c r="N73" s="57" t="str">
        <f t="shared" si="2"/>
        <v/>
      </c>
      <c r="O73" s="60">
        <f>IF(N73="",0,N73+O72)</f>
        <v>0</v>
      </c>
    </row>
    <row r="74" spans="1:15" x14ac:dyDescent="0.25">
      <c r="A74" s="97">
        <v>19</v>
      </c>
      <c r="B74" s="107"/>
      <c r="C74" s="106"/>
      <c r="D74" s="46">
        <v>1</v>
      </c>
      <c r="E74" s="50"/>
      <c r="F74" s="45" t="str">
        <f>IF($E74="","",IF(ISNA(VLOOKUP($E74,DD!$A$2:$C$150,2,0)),"NO SUCH DIVE",VLOOKUP($E74,DD!$A$2:$C$150,2,0)))</f>
        <v/>
      </c>
      <c r="G74" s="51" t="str">
        <f>IF($E74="","",IF(ISNA(VLOOKUP($E74,DD!$A$2:$C$150,3,0)),"",VLOOKUP($E74,DD!$A$2:$C$150,3,0)))</f>
        <v/>
      </c>
      <c r="H74" s="52"/>
      <c r="I74" s="52"/>
      <c r="J74" s="52"/>
      <c r="K74" s="52"/>
      <c r="L74" s="52"/>
      <c r="M74" s="50"/>
      <c r="N74" s="45" t="str">
        <f t="shared" si="2"/>
        <v/>
      </c>
      <c r="O74" s="45" t="str">
        <f>IF(N74="","",N74)</f>
        <v/>
      </c>
    </row>
    <row r="75" spans="1:15" ht="15" customHeight="1" x14ac:dyDescent="0.25">
      <c r="A75" s="97"/>
      <c r="B75" s="107"/>
      <c r="C75" s="106"/>
      <c r="D75" s="46">
        <v>2</v>
      </c>
      <c r="E75" s="62"/>
      <c r="F75" s="45" t="str">
        <f>IF($E75="","",IF(ISNA(VLOOKUP($E75,DD!$A$2:$C$150,2,0)),"NO SUCH DIVE",VLOOKUP($E75,DD!$A$2:$C$150,2,0)))</f>
        <v/>
      </c>
      <c r="G75" s="51" t="str">
        <f>IF($E75="","",IF(ISNA(VLOOKUP($E75,DD!$A$2:$C$150,3,0)),"",VLOOKUP($E75,DD!$A$2:$C$150,3,0)))</f>
        <v/>
      </c>
      <c r="H75" s="52"/>
      <c r="I75" s="52"/>
      <c r="J75" s="52"/>
      <c r="K75" s="52"/>
      <c r="L75" s="52"/>
      <c r="M75" s="50"/>
      <c r="N75" s="45" t="str">
        <f t="shared" si="2"/>
        <v/>
      </c>
      <c r="O75" s="45" t="str">
        <f>IF(N75="","",N75+O74)</f>
        <v/>
      </c>
    </row>
    <row r="76" spans="1:15" x14ac:dyDescent="0.25">
      <c r="A76" s="97"/>
      <c r="B76" s="107"/>
      <c r="C76" s="106"/>
      <c r="D76" s="46">
        <v>3</v>
      </c>
      <c r="E76" s="62"/>
      <c r="F76" s="45" t="str">
        <f>IF($E76="","",IF(ISNA(VLOOKUP($E76,DD!$A$2:$C$150,2,0)),"NO SUCH DIVE",VLOOKUP($E76,DD!$A$2:$C$150,2,0)))</f>
        <v/>
      </c>
      <c r="G76" s="46" t="str">
        <f>IF($E76="","",IF(ISNA(VLOOKUP($E76,DD!$A$2:$C$150,3,0)),"",VLOOKUP($E76,DD!$A$2:$C$150,3,0)))</f>
        <v/>
      </c>
      <c r="H76" s="52"/>
      <c r="I76" s="52"/>
      <c r="J76" s="52"/>
      <c r="K76" s="52"/>
      <c r="L76" s="52"/>
      <c r="M76" s="50"/>
      <c r="N76" s="45" t="str">
        <f t="shared" si="2"/>
        <v/>
      </c>
      <c r="O76" s="45" t="str">
        <f>IF(N76="","",N76+O75)</f>
        <v/>
      </c>
    </row>
    <row r="77" spans="1:15" x14ac:dyDescent="0.25">
      <c r="A77" s="97"/>
      <c r="B77" s="107"/>
      <c r="C77" s="106"/>
      <c r="D77" s="46">
        <v>4</v>
      </c>
      <c r="E77" s="62"/>
      <c r="F77" s="45" t="str">
        <f>IF($E77="","",IF(ISNA(VLOOKUP($E77,DD!$A$2:$C$150,2,0)),"NO SUCH DIVE",VLOOKUP($E77,DD!$A$2:$C$150,2,0)))</f>
        <v/>
      </c>
      <c r="G77" s="46" t="str">
        <f>IF($E77="","",IF(ISNA(VLOOKUP($E77,DD!$A$2:$C$150,3,0)),"",VLOOKUP($E77,DD!$A$2:$C$150,3,0)))</f>
        <v/>
      </c>
      <c r="H77" s="52"/>
      <c r="I77" s="52"/>
      <c r="J77" s="52"/>
      <c r="K77" s="52"/>
      <c r="L77" s="52"/>
      <c r="M77" s="50"/>
      <c r="N77" s="45" t="str">
        <f t="shared" si="2"/>
        <v/>
      </c>
      <c r="O77" s="54">
        <f>IF(N77="",0,N77+O76)</f>
        <v>0</v>
      </c>
    </row>
    <row r="78" spans="1:15" ht="15" customHeight="1" x14ac:dyDescent="0.25">
      <c r="A78" s="100">
        <v>20</v>
      </c>
      <c r="B78" s="101" t="s">
        <v>134</v>
      </c>
      <c r="C78" s="102" t="s">
        <v>4</v>
      </c>
      <c r="D78" s="55">
        <v>1</v>
      </c>
      <c r="E78" s="56" t="s">
        <v>89</v>
      </c>
      <c r="F78" s="57" t="str">
        <f>IF($E78="","",IF(ISNA(VLOOKUP($E78,DD!$A$2:$C$150,2,0)),"NO SUCH DIVE",VLOOKUP($E78,DD!$A$2:$C$150,2,0)))</f>
        <v>Front dive tuck</v>
      </c>
      <c r="G78" s="58">
        <f>IF($E78="","",IF(ISNA(VLOOKUP($E78,DD!$A$2:$C$150,3,0)),"",VLOOKUP($E78,DD!$A$2:$C$150,3,0)))</f>
        <v>1.3</v>
      </c>
      <c r="H78" s="59">
        <v>5.5</v>
      </c>
      <c r="I78" s="59">
        <v>6</v>
      </c>
      <c r="J78" s="59">
        <v>6</v>
      </c>
      <c r="K78" s="59">
        <v>6</v>
      </c>
      <c r="L78" s="59">
        <v>6</v>
      </c>
      <c r="M78" s="56"/>
      <c r="N78" s="57">
        <f t="shared" si="2"/>
        <v>23.400000000000002</v>
      </c>
      <c r="O78" s="57">
        <f>IF(N78="","",N78)</f>
        <v>23.400000000000002</v>
      </c>
    </row>
    <row r="79" spans="1:15" x14ac:dyDescent="0.25">
      <c r="A79" s="100"/>
      <c r="B79" s="101"/>
      <c r="C79" s="102"/>
      <c r="D79" s="55">
        <v>2</v>
      </c>
      <c r="E79" s="56" t="s">
        <v>58</v>
      </c>
      <c r="F79" s="57" t="str">
        <f>IF($E79="","",IF(ISNA(VLOOKUP($E79,DD!$A$2:$C$150,2,0)),"NO SUCH DIVE",VLOOKUP($E79,DD!$A$2:$C$150,2,0)))</f>
        <v>Back dive layout</v>
      </c>
      <c r="G79" s="58">
        <f>IF($E79="","",IF(ISNA(VLOOKUP($E79,DD!$A$2:$C$150,3,0)),"",VLOOKUP($E79,DD!$A$2:$C$150,3,0)))</f>
        <v>1.4</v>
      </c>
      <c r="H79" s="59">
        <v>5</v>
      </c>
      <c r="I79" s="59">
        <v>6</v>
      </c>
      <c r="J79" s="59">
        <v>5.5</v>
      </c>
      <c r="K79" s="59">
        <v>6</v>
      </c>
      <c r="L79" s="59">
        <v>6.5</v>
      </c>
      <c r="M79" s="56"/>
      <c r="N79" s="57">
        <f t="shared" si="2"/>
        <v>24.5</v>
      </c>
      <c r="O79" s="57">
        <f>IF(N79="","",N79+O78)</f>
        <v>47.900000000000006</v>
      </c>
    </row>
    <row r="80" spans="1:15" x14ac:dyDescent="0.25">
      <c r="A80" s="100"/>
      <c r="B80" s="101"/>
      <c r="C80" s="102"/>
      <c r="D80" s="55">
        <v>3</v>
      </c>
      <c r="E80" s="56" t="s">
        <v>64</v>
      </c>
      <c r="F80" s="57" t="str">
        <f>IF($E80="","",IF(ISNA(VLOOKUP($E80,DD!$A$2:$C$150,2,0)),"NO SUCH DIVE",VLOOKUP($E80,DD!$A$2:$C$150,2,0)))</f>
        <v>Back dive ½ twist layout</v>
      </c>
      <c r="G80" s="55">
        <f>IF($E80="","",IF(ISNA(VLOOKUP($E80,DD!$A$2:$C$150,3,0)),"",VLOOKUP($E80,DD!$A$2:$C$150,3,0)))</f>
        <v>1.4</v>
      </c>
      <c r="H80" s="59">
        <v>5</v>
      </c>
      <c r="I80" s="59">
        <v>5</v>
      </c>
      <c r="J80" s="59">
        <v>5</v>
      </c>
      <c r="K80" s="59">
        <v>5</v>
      </c>
      <c r="L80" s="59">
        <v>5.5</v>
      </c>
      <c r="M80" s="56"/>
      <c r="N80" s="57">
        <f t="shared" si="2"/>
        <v>21</v>
      </c>
      <c r="O80" s="57">
        <f>IF(N80="","",N80+O79)</f>
        <v>68.900000000000006</v>
      </c>
    </row>
    <row r="81" spans="1:15" x14ac:dyDescent="0.25">
      <c r="A81" s="100"/>
      <c r="B81" s="101"/>
      <c r="C81" s="102"/>
      <c r="D81" s="55">
        <v>4</v>
      </c>
      <c r="E81" s="56" t="s">
        <v>72</v>
      </c>
      <c r="F81" s="57" t="str">
        <f>IF($E81="","",IF(ISNA(VLOOKUP($E81,DD!$A$2:$C$150,2,0)),"NO SUCH DIVE",VLOOKUP($E81,DD!$A$2:$C$150,2,0)))</f>
        <v>Front somersault tuck</v>
      </c>
      <c r="G81" s="55">
        <f>IF($E81="","",IF(ISNA(VLOOKUP($E81,DD!$A$2:$C$150,3,0)),"",VLOOKUP($E81,DD!$A$2:$C$150,3,0)))</f>
        <v>1.4</v>
      </c>
      <c r="H81" s="59">
        <v>7</v>
      </c>
      <c r="I81" s="59">
        <v>8</v>
      </c>
      <c r="J81" s="59">
        <v>7</v>
      </c>
      <c r="K81" s="59">
        <v>8</v>
      </c>
      <c r="L81" s="59">
        <v>7.5</v>
      </c>
      <c r="M81" s="56"/>
      <c r="N81" s="57">
        <f t="shared" si="2"/>
        <v>31.499999999999996</v>
      </c>
      <c r="O81" s="60">
        <f>IF(N81="",0,N81+O80)</f>
        <v>100.4</v>
      </c>
    </row>
    <row r="82" spans="1:15" x14ac:dyDescent="0.25">
      <c r="A82" s="97">
        <v>21</v>
      </c>
      <c r="B82" s="107"/>
      <c r="C82" s="106"/>
      <c r="D82" s="46">
        <v>1</v>
      </c>
      <c r="E82" s="50"/>
      <c r="F82" s="45" t="str">
        <f>IF($E82="","",IF(ISNA(VLOOKUP($E82,DD!$A$2:$C$150,2,0)),"NO SUCH DIVE",VLOOKUP($E82,DD!$A$2:$C$150,2,0)))</f>
        <v/>
      </c>
      <c r="G82" s="51" t="str">
        <f>IF($E82="","",IF(ISNA(VLOOKUP($E82,DD!$A$2:$C$150,3,0)),"",VLOOKUP($E82,DD!$A$2:$C$150,3,0)))</f>
        <v/>
      </c>
      <c r="H82" s="52"/>
      <c r="I82" s="52"/>
      <c r="J82" s="52"/>
      <c r="K82" s="52"/>
      <c r="L82" s="52"/>
      <c r="M82" s="50"/>
      <c r="N82" s="45" t="str">
        <f t="shared" si="2"/>
        <v/>
      </c>
      <c r="O82" s="45" t="str">
        <f>IF(N82="","",N82)</f>
        <v/>
      </c>
    </row>
    <row r="83" spans="1:15" x14ac:dyDescent="0.25">
      <c r="A83" s="97"/>
      <c r="B83" s="107"/>
      <c r="C83" s="106"/>
      <c r="D83" s="46">
        <v>2</v>
      </c>
      <c r="E83" s="62"/>
      <c r="F83" s="45" t="str">
        <f>IF($E83="","",IF(ISNA(VLOOKUP($E83,DD!$A$2:$C$150,2,0)),"NO SUCH DIVE",VLOOKUP($E83,DD!$A$2:$C$150,2,0)))</f>
        <v/>
      </c>
      <c r="G83" s="51" t="str">
        <f>IF($E83="","",IF(ISNA(VLOOKUP($E83,DD!$A$2:$C$150,3,0)),"",VLOOKUP($E83,DD!$A$2:$C$150,3,0)))</f>
        <v/>
      </c>
      <c r="H83" s="52"/>
      <c r="I83" s="52"/>
      <c r="J83" s="52"/>
      <c r="K83" s="52"/>
      <c r="L83" s="52"/>
      <c r="M83" s="50"/>
      <c r="N83" s="45" t="str">
        <f t="shared" si="2"/>
        <v/>
      </c>
      <c r="O83" s="45" t="str">
        <f>IF(N83="","",N83+O82)</f>
        <v/>
      </c>
    </row>
    <row r="84" spans="1:15" x14ac:dyDescent="0.25">
      <c r="A84" s="97"/>
      <c r="B84" s="107"/>
      <c r="C84" s="106"/>
      <c r="D84" s="46">
        <v>3</v>
      </c>
      <c r="E84" s="62"/>
      <c r="F84" s="45" t="str">
        <f>IF($E84="","",IF(ISNA(VLOOKUP($E84,DD!$A$2:$C$150,2,0)),"NO SUCH DIVE",VLOOKUP($E84,DD!$A$2:$C$150,2,0)))</f>
        <v/>
      </c>
      <c r="G84" s="46" t="str">
        <f>IF($E84="","",IF(ISNA(VLOOKUP($E84,DD!$A$2:$C$150,3,0)),"",VLOOKUP($E84,DD!$A$2:$C$150,3,0)))</f>
        <v/>
      </c>
      <c r="H84" s="52"/>
      <c r="I84" s="52"/>
      <c r="J84" s="52"/>
      <c r="K84" s="52"/>
      <c r="L84" s="52"/>
      <c r="M84" s="50"/>
      <c r="N84" s="45" t="str">
        <f t="shared" si="2"/>
        <v/>
      </c>
      <c r="O84" s="45" t="str">
        <f>IF(N84="","",N84+O83)</f>
        <v/>
      </c>
    </row>
    <row r="85" spans="1:15" x14ac:dyDescent="0.25">
      <c r="A85" s="97"/>
      <c r="B85" s="107"/>
      <c r="C85" s="106"/>
      <c r="D85" s="46">
        <v>4</v>
      </c>
      <c r="E85" s="62"/>
      <c r="F85" s="45" t="str">
        <f>IF($E85="","",IF(ISNA(VLOOKUP($E85,DD!$A$2:$C$150,2,0)),"NO SUCH DIVE",VLOOKUP($E85,DD!$A$2:$C$150,2,0)))</f>
        <v/>
      </c>
      <c r="G85" s="46" t="str">
        <f>IF($E85="","",IF(ISNA(VLOOKUP($E85,DD!$A$2:$C$150,3,0)),"",VLOOKUP($E85,DD!$A$2:$C$150,3,0)))</f>
        <v/>
      </c>
      <c r="H85" s="52"/>
      <c r="I85" s="52"/>
      <c r="J85" s="52"/>
      <c r="K85" s="52"/>
      <c r="L85" s="52"/>
      <c r="M85" s="50"/>
      <c r="N85" s="45" t="str">
        <f t="shared" si="2"/>
        <v/>
      </c>
      <c r="O85" s="54">
        <f>IF(N85="",0,N85+O84)</f>
        <v>0</v>
      </c>
    </row>
    <row r="86" spans="1:15" ht="13.9" customHeight="1" x14ac:dyDescent="0.25">
      <c r="A86" s="100">
        <v>22</v>
      </c>
      <c r="B86" s="101" t="s">
        <v>135</v>
      </c>
      <c r="C86" s="102" t="s">
        <v>88</v>
      </c>
      <c r="D86" s="55">
        <v>1</v>
      </c>
      <c r="E86" s="56" t="s">
        <v>64</v>
      </c>
      <c r="F86" s="57" t="str">
        <f>IF($E86="","",IF(ISNA(VLOOKUP($E86,DD!$A$2:$C$150,2,0)),"NO SUCH DIVE",VLOOKUP($E86,DD!$A$2:$C$150,2,0)))</f>
        <v>Back dive ½ twist layout</v>
      </c>
      <c r="G86" s="58">
        <f>IF($E86="","",IF(ISNA(VLOOKUP($E86,DD!$A$2:$C$150,3,0)),"",VLOOKUP($E86,DD!$A$2:$C$150,3,0)))</f>
        <v>1.4</v>
      </c>
      <c r="H86" s="59">
        <v>5</v>
      </c>
      <c r="I86" s="59">
        <v>5</v>
      </c>
      <c r="J86" s="59">
        <v>5.5</v>
      </c>
      <c r="K86" s="59">
        <v>5.5</v>
      </c>
      <c r="L86" s="59">
        <v>5.5</v>
      </c>
      <c r="M86" s="56"/>
      <c r="N86" s="57">
        <f t="shared" si="2"/>
        <v>22.4</v>
      </c>
      <c r="O86" s="57">
        <f>IF(N86="","",N86)</f>
        <v>22.4</v>
      </c>
    </row>
    <row r="87" spans="1:15" x14ac:dyDescent="0.25">
      <c r="A87" s="100"/>
      <c r="B87" s="101"/>
      <c r="C87" s="102"/>
      <c r="D87" s="55">
        <v>2</v>
      </c>
      <c r="E87" s="56" t="s">
        <v>58</v>
      </c>
      <c r="F87" s="57" t="str">
        <f>IF($E87="","",IF(ISNA(VLOOKUP($E87,DD!$A$2:$C$150,2,0)),"NO SUCH DIVE",VLOOKUP($E87,DD!$A$2:$C$150,2,0)))</f>
        <v>Back dive layout</v>
      </c>
      <c r="G87" s="58">
        <f>IF($E87="","",IF(ISNA(VLOOKUP($E87,DD!$A$2:$C$150,3,0)),"",VLOOKUP($E87,DD!$A$2:$C$150,3,0)))</f>
        <v>1.4</v>
      </c>
      <c r="H87" s="59">
        <v>4.5</v>
      </c>
      <c r="I87" s="59">
        <v>5</v>
      </c>
      <c r="J87" s="59">
        <v>4.5</v>
      </c>
      <c r="K87" s="59">
        <v>4.5</v>
      </c>
      <c r="L87" s="59">
        <v>4.5</v>
      </c>
      <c r="M87" s="56"/>
      <c r="N87" s="57">
        <f t="shared" si="2"/>
        <v>18.899999999999999</v>
      </c>
      <c r="O87" s="57">
        <f>IF(N87="","",N87+O86)</f>
        <v>41.3</v>
      </c>
    </row>
    <row r="88" spans="1:15" x14ac:dyDescent="0.25">
      <c r="A88" s="100"/>
      <c r="B88" s="101"/>
      <c r="C88" s="102"/>
      <c r="D88" s="55">
        <v>3</v>
      </c>
      <c r="E88" s="56" t="s">
        <v>72</v>
      </c>
      <c r="F88" s="57" t="str">
        <f>IF($E88="","",IF(ISNA(VLOOKUP($E88,DD!$A$2:$C$150,2,0)),"NO SUCH DIVE",VLOOKUP($E88,DD!$A$2:$C$150,2,0)))</f>
        <v>Front somersault tuck</v>
      </c>
      <c r="G88" s="55">
        <f>IF($E88="","",IF(ISNA(VLOOKUP($E88,DD!$A$2:$C$150,3,0)),"",VLOOKUP($E88,DD!$A$2:$C$150,3,0)))</f>
        <v>1.4</v>
      </c>
      <c r="H88" s="59">
        <v>5</v>
      </c>
      <c r="I88" s="59">
        <v>6</v>
      </c>
      <c r="J88" s="59">
        <v>6</v>
      </c>
      <c r="K88" s="59">
        <v>6.5</v>
      </c>
      <c r="L88" s="59">
        <v>6.5</v>
      </c>
      <c r="M88" s="56"/>
      <c r="N88" s="57">
        <f t="shared" si="2"/>
        <v>25.9</v>
      </c>
      <c r="O88" s="57">
        <f>IF(N88="","",N88+O87)</f>
        <v>67.199999999999989</v>
      </c>
    </row>
    <row r="89" spans="1:15" x14ac:dyDescent="0.25">
      <c r="A89" s="100"/>
      <c r="B89" s="101"/>
      <c r="C89" s="102"/>
      <c r="D89" s="55">
        <v>4</v>
      </c>
      <c r="E89" s="56" t="s">
        <v>112</v>
      </c>
      <c r="F89" s="57" t="str">
        <f>IF($E89="","",IF(ISNA(VLOOKUP($E89,DD!$A$2:$C$150,2,0)),"NO SUCH DIVE",VLOOKUP($E89,DD!$A$2:$C$150,2,0)))</f>
        <v>Back somersault tuck</v>
      </c>
      <c r="G89" s="55">
        <f>IF($E89="","",IF(ISNA(VLOOKUP($E89,DD!$A$2:$C$150,3,0)),"",VLOOKUP($E89,DD!$A$2:$C$150,3,0)))</f>
        <v>1.5</v>
      </c>
      <c r="H89" s="59">
        <v>5</v>
      </c>
      <c r="I89" s="59">
        <v>4.5</v>
      </c>
      <c r="J89" s="59">
        <v>3.5</v>
      </c>
      <c r="K89" s="59">
        <v>4.5</v>
      </c>
      <c r="L89" s="59">
        <v>5</v>
      </c>
      <c r="M89" s="56"/>
      <c r="N89" s="57">
        <f t="shared" si="2"/>
        <v>21</v>
      </c>
      <c r="O89" s="60">
        <f>IF(N89="",0,N89+O88)</f>
        <v>88.199999999999989</v>
      </c>
    </row>
    <row r="90" spans="1:15" x14ac:dyDescent="0.25">
      <c r="A90" s="97">
        <v>23</v>
      </c>
      <c r="B90" s="107"/>
      <c r="C90" s="106"/>
      <c r="D90" s="46">
        <v>1</v>
      </c>
      <c r="E90" s="50"/>
      <c r="F90" s="45" t="str">
        <f>IF($E90="","",IF(ISNA(VLOOKUP($E90,DD!$A$2:$C$150,2,0)),"NO SUCH DIVE",VLOOKUP($E90,DD!$A$2:$C$150,2,0)))</f>
        <v/>
      </c>
      <c r="G90" s="51" t="str">
        <f>IF($E90="","",IF(ISNA(VLOOKUP($E90,DD!$A$2:$C$150,3,0)),"",VLOOKUP($E90,DD!$A$2:$C$150,3,0)))</f>
        <v/>
      </c>
      <c r="H90" s="52"/>
      <c r="I90" s="52"/>
      <c r="J90" s="52"/>
      <c r="K90" s="52"/>
      <c r="L90" s="52"/>
      <c r="M90" s="50"/>
      <c r="N90" s="45" t="str">
        <f t="shared" si="2"/>
        <v/>
      </c>
      <c r="O90" s="45" t="str">
        <f>IF(N90="","",N90)</f>
        <v/>
      </c>
    </row>
    <row r="91" spans="1:15" x14ac:dyDescent="0.25">
      <c r="A91" s="97"/>
      <c r="B91" s="107"/>
      <c r="C91" s="106"/>
      <c r="D91" s="46">
        <v>2</v>
      </c>
      <c r="E91" s="62"/>
      <c r="F91" s="45" t="str">
        <f>IF($E91="","",IF(ISNA(VLOOKUP($E91,DD!$A$2:$C$150,2,0)),"NO SUCH DIVE",VLOOKUP($E91,DD!$A$2:$C$150,2,0)))</f>
        <v/>
      </c>
      <c r="G91" s="51" t="str">
        <f>IF($E91="","",IF(ISNA(VLOOKUP($E91,DD!$A$2:$C$150,3,0)),"",VLOOKUP($E91,DD!$A$2:$C$150,3,0)))</f>
        <v/>
      </c>
      <c r="H91" s="52"/>
      <c r="I91" s="52"/>
      <c r="J91" s="52"/>
      <c r="K91" s="52"/>
      <c r="L91" s="52"/>
      <c r="M91" s="50"/>
      <c r="N91" s="45" t="str">
        <f t="shared" si="2"/>
        <v/>
      </c>
      <c r="O91" s="45" t="str">
        <f>IF(N91="","",N91+O90)</f>
        <v/>
      </c>
    </row>
    <row r="92" spans="1:15" x14ac:dyDescent="0.25">
      <c r="A92" s="97"/>
      <c r="B92" s="107"/>
      <c r="C92" s="106"/>
      <c r="D92" s="46">
        <v>3</v>
      </c>
      <c r="E92" s="62"/>
      <c r="F92" s="45" t="str">
        <f>IF($E92="","",IF(ISNA(VLOOKUP($E92,DD!$A$2:$C$150,2,0)),"NO SUCH DIVE",VLOOKUP($E92,DD!$A$2:$C$150,2,0)))</f>
        <v/>
      </c>
      <c r="G92" s="46" t="str">
        <f>IF($E92="","",IF(ISNA(VLOOKUP($E92,DD!$A$2:$C$150,3,0)),"",VLOOKUP($E92,DD!$A$2:$C$150,3,0)))</f>
        <v/>
      </c>
      <c r="H92" s="52"/>
      <c r="I92" s="52"/>
      <c r="J92" s="52"/>
      <c r="K92" s="52"/>
      <c r="L92" s="52"/>
      <c r="M92" s="50"/>
      <c r="N92" s="45" t="str">
        <f t="shared" si="2"/>
        <v/>
      </c>
      <c r="O92" s="45" t="str">
        <f>IF(N92="","",N92+O91)</f>
        <v/>
      </c>
    </row>
    <row r="93" spans="1:15" x14ac:dyDescent="0.25">
      <c r="A93" s="97"/>
      <c r="B93" s="107"/>
      <c r="C93" s="106"/>
      <c r="D93" s="46">
        <v>4</v>
      </c>
      <c r="E93" s="62"/>
      <c r="F93" s="45" t="str">
        <f>IF($E93="","",IF(ISNA(VLOOKUP($E93,DD!$A$2:$C$150,2,0)),"NO SUCH DIVE",VLOOKUP($E93,DD!$A$2:$C$150,2,0)))</f>
        <v/>
      </c>
      <c r="G93" s="46" t="str">
        <f>IF($E93="","",IF(ISNA(VLOOKUP($E93,DD!$A$2:$C$150,3,0)),"",VLOOKUP($E93,DD!$A$2:$C$150,3,0)))</f>
        <v/>
      </c>
      <c r="H93" s="52"/>
      <c r="I93" s="52"/>
      <c r="J93" s="52"/>
      <c r="K93" s="52"/>
      <c r="L93" s="52"/>
      <c r="M93" s="50"/>
      <c r="N93" s="45" t="str">
        <f t="shared" si="2"/>
        <v/>
      </c>
      <c r="O93" s="54">
        <f>IF(N93="",0,N93+O92)</f>
        <v>0</v>
      </c>
    </row>
    <row r="94" spans="1:15" ht="15" customHeight="1" x14ac:dyDescent="0.25">
      <c r="A94" s="100">
        <v>24</v>
      </c>
      <c r="B94" s="101" t="s">
        <v>136</v>
      </c>
      <c r="C94" s="102" t="s">
        <v>137</v>
      </c>
      <c r="D94" s="55">
        <v>1</v>
      </c>
      <c r="E94" s="56" t="s">
        <v>138</v>
      </c>
      <c r="F94" s="57" t="str">
        <f>IF($E94="","",IF(ISNA(VLOOKUP($E94,DD!$A$2:$C$150,2,0)),"NO SUCH DIVE",VLOOKUP($E94,DD!$A$2:$C$150,2,0)))</f>
        <v>Front dive pike</v>
      </c>
      <c r="G94" s="58">
        <f>IF($E94="","",IF(ISNA(VLOOKUP($E94,DD!$A$2:$C$150,3,0)),"",VLOOKUP($E94,DD!$A$2:$C$150,3,0)))</f>
        <v>1.3</v>
      </c>
      <c r="H94" s="59">
        <v>4</v>
      </c>
      <c r="I94" s="59">
        <v>3</v>
      </c>
      <c r="J94" s="59">
        <v>4</v>
      </c>
      <c r="K94" s="59">
        <v>4</v>
      </c>
      <c r="L94" s="59">
        <v>4</v>
      </c>
      <c r="M94" s="56"/>
      <c r="N94" s="57">
        <f t="shared" si="2"/>
        <v>15.600000000000001</v>
      </c>
      <c r="O94" s="57">
        <f>IF(N94="","",N94)</f>
        <v>15.600000000000001</v>
      </c>
    </row>
    <row r="95" spans="1:15" x14ac:dyDescent="0.25">
      <c r="A95" s="100"/>
      <c r="B95" s="101"/>
      <c r="C95" s="102"/>
      <c r="D95" s="55">
        <v>2</v>
      </c>
      <c r="E95" s="56" t="s">
        <v>46</v>
      </c>
      <c r="F95" s="57" t="str">
        <f>IF($E95="","",IF(ISNA(VLOOKUP($E95,DD!$A$2:$C$150,2,0)),"NO SUCH DIVE",VLOOKUP($E95,DD!$A$2:$C$150,2,0)))</f>
        <v>Back fall in</v>
      </c>
      <c r="G95" s="58">
        <f>IF($E95="","",IF(ISNA(VLOOKUP($E95,DD!$A$2:$C$150,3,0)),"",VLOOKUP($E95,DD!$A$2:$C$150,3,0)))</f>
        <v>1</v>
      </c>
      <c r="H95" s="59">
        <v>6</v>
      </c>
      <c r="I95" s="59">
        <v>5.5</v>
      </c>
      <c r="J95" s="59">
        <v>5.5</v>
      </c>
      <c r="K95" s="59">
        <v>5</v>
      </c>
      <c r="L95" s="59">
        <v>5.5</v>
      </c>
      <c r="M95" s="56"/>
      <c r="N95" s="57">
        <f t="shared" si="2"/>
        <v>16.5</v>
      </c>
      <c r="O95" s="57">
        <f>IF(N95="","",N95+O94)</f>
        <v>32.1</v>
      </c>
    </row>
    <row r="96" spans="1:15" x14ac:dyDescent="0.25">
      <c r="A96" s="100"/>
      <c r="B96" s="101"/>
      <c r="C96" s="102"/>
      <c r="D96" s="55">
        <v>3</v>
      </c>
      <c r="E96" s="56" t="s">
        <v>96</v>
      </c>
      <c r="F96" s="57" t="str">
        <f>IF($E96="","",IF(ISNA(VLOOKUP($E96,DD!$A$2:$C$150,2,0)),"NO SUCH DIVE",VLOOKUP($E96,DD!$A$2:$C$150,2,0)))</f>
        <v>Inward dive tuck</v>
      </c>
      <c r="G96" s="55">
        <f>IF($E96="","",IF(ISNA(VLOOKUP($E96,DD!$A$2:$C$150,3,0)),"",VLOOKUP($E96,DD!$A$2:$C$150,3,0)))</f>
        <v>1.5</v>
      </c>
      <c r="H96" s="59">
        <v>6</v>
      </c>
      <c r="I96" s="59">
        <v>6</v>
      </c>
      <c r="J96" s="59">
        <v>5</v>
      </c>
      <c r="K96" s="59">
        <v>6.5</v>
      </c>
      <c r="L96" s="59">
        <v>7</v>
      </c>
      <c r="M96" s="56"/>
      <c r="N96" s="57">
        <f t="shared" si="2"/>
        <v>27.75</v>
      </c>
      <c r="O96" s="57">
        <f>IF(N96="","",N96+O95)</f>
        <v>59.85</v>
      </c>
    </row>
    <row r="97" spans="1:20" x14ac:dyDescent="0.25">
      <c r="A97" s="100"/>
      <c r="B97" s="101"/>
      <c r="C97" s="102"/>
      <c r="D97" s="55">
        <v>4</v>
      </c>
      <c r="E97" s="56" t="s">
        <v>139</v>
      </c>
      <c r="F97" s="57" t="str">
        <f>IF($E97="","",IF(ISNA(VLOOKUP($E97,DD!$A$2:$C$150,2,0)),"NO SUCH DIVE",VLOOKUP($E97,DD!$A$2:$C$150,2,0)))</f>
        <v>Front somersault pike</v>
      </c>
      <c r="G97" s="55">
        <f>IF($E97="","",IF(ISNA(VLOOKUP($E97,DD!$A$2:$C$150,3,0)),"",VLOOKUP($E97,DD!$A$2:$C$150,3,0)))</f>
        <v>1.5</v>
      </c>
      <c r="H97" s="59">
        <v>6</v>
      </c>
      <c r="I97" s="59">
        <v>5.5</v>
      </c>
      <c r="J97" s="59">
        <v>6</v>
      </c>
      <c r="K97" s="59">
        <v>5</v>
      </c>
      <c r="L97" s="59">
        <v>6.5</v>
      </c>
      <c r="M97" s="56"/>
      <c r="N97" s="57">
        <f t="shared" si="2"/>
        <v>26.25</v>
      </c>
      <c r="O97" s="60">
        <f>IF(N97="",0,N97+O96)</f>
        <v>86.1</v>
      </c>
    </row>
    <row r="99" spans="1:20" ht="30" x14ac:dyDescent="0.25">
      <c r="C99" s="63" t="s">
        <v>78</v>
      </c>
      <c r="D99" s="64" t="s">
        <v>79</v>
      </c>
      <c r="E99" s="65" t="s">
        <v>80</v>
      </c>
      <c r="F99" s="65" t="s">
        <v>27</v>
      </c>
      <c r="G99" s="65" t="s">
        <v>33</v>
      </c>
      <c r="H99" s="65" t="s">
        <v>81</v>
      </c>
      <c r="I99" s="66" t="s">
        <v>30</v>
      </c>
      <c r="R99" s="45" t="str">
        <f>INFO!$B$4</f>
        <v>Side</v>
      </c>
      <c r="S99" s="45" t="str">
        <f>INFO!$B$5</f>
        <v>ALPS</v>
      </c>
    </row>
    <row r="100" spans="1:20" x14ac:dyDescent="0.25">
      <c r="C100" s="67">
        <f>IF(E100&lt;1,0,1)</f>
        <v>1</v>
      </c>
      <c r="D100" s="68">
        <f>IF(OR(C100&lt;1,H100&lt;&gt;"",COUNTIF(T$100:T100,T100)&gt;3),"",VLOOKUP(C100-COUNTA(H$100:H100),DD!$E$24:$F$49,2))</f>
        <v>16</v>
      </c>
      <c r="E100" s="69">
        <f>IF(LARGE($R$2:$R$25,1)&lt;1,0,LARGE($R$2:$R$25,1))</f>
        <v>107.85001699999999</v>
      </c>
      <c r="F100" s="70" t="str">
        <f t="shared" ref="F100:F123" si="3">VLOOKUP(E100,$R$2:$T$26,2,0)</f>
        <v>Mackenzie Patrouille</v>
      </c>
      <c r="G100" s="68" t="str">
        <f t="shared" ref="G100:G123" si="4">VLOOKUP(E100,$R$2:$T$26,3,0)</f>
        <v>PVPC</v>
      </c>
      <c r="H100" s="71"/>
      <c r="I100" s="72" t="str">
        <f t="shared" ref="I100:I122" si="5">IF(AND(OR(C100=C99,C100=C101),C100&lt;&gt;0),"TIE","")</f>
        <v/>
      </c>
      <c r="R100" s="45">
        <f t="shared" ref="R100:R123" si="6">IF(G100=$R$99,D100,0)</f>
        <v>0</v>
      </c>
      <c r="S100" s="45">
        <f t="shared" ref="S100:S123" si="7">IF(G100=$S$99,D100,0)</f>
        <v>0</v>
      </c>
      <c r="T100" s="73" t="str">
        <f t="shared" ref="T100:T123" si="8">G100&amp;H100</f>
        <v>PVPC</v>
      </c>
    </row>
    <row r="101" spans="1:20" x14ac:dyDescent="0.25">
      <c r="C101" s="67">
        <f>IF(E101&lt;1,0,IF(INT(E101*100)=INT(E100*100),C100,2))</f>
        <v>2</v>
      </c>
      <c r="D101" s="68">
        <f>IF(OR(C101&lt;1,H101&lt;&gt;"",COUNTIF(T$100:T101,T101)&gt;3),"",VLOOKUP(C101-COUNTA(H$100:H101),DD!$E$24:$F$49,2))</f>
        <v>14</v>
      </c>
      <c r="E101" s="69">
        <f>IF(LARGE($R$2:$R$25,2)&lt;1,0,LARGE($R$2:$R$25,2))</f>
        <v>106.850003</v>
      </c>
      <c r="F101" s="70" t="str">
        <f t="shared" si="3"/>
        <v>Annabelle Hillier</v>
      </c>
      <c r="G101" s="68" t="str">
        <f t="shared" si="4"/>
        <v>Cedar</v>
      </c>
      <c r="H101" s="71"/>
      <c r="I101" s="72" t="str">
        <f t="shared" si="5"/>
        <v/>
      </c>
      <c r="R101" s="45">
        <f t="shared" si="6"/>
        <v>0</v>
      </c>
      <c r="S101" s="45">
        <f t="shared" si="7"/>
        <v>0</v>
      </c>
      <c r="T101" s="73" t="str">
        <f t="shared" si="8"/>
        <v>Cedar</v>
      </c>
    </row>
    <row r="102" spans="1:20" x14ac:dyDescent="0.25">
      <c r="C102" s="67">
        <f>IF(E102&lt;1,0,IF(INT(E102*100)=INT(E101*100),C101,3))</f>
        <v>3</v>
      </c>
      <c r="D102" s="68">
        <f>IF(OR(C102&lt;1,H102&lt;&gt;"",COUNTIF(T$100:T102,T102)&gt;3),"",VLOOKUP(C102-COUNTA(H$100:H102),DD!$E$24:$F$49,2))</f>
        <v>12</v>
      </c>
      <c r="E102" s="69">
        <f>IF(LARGE($R$2:$R$25,3)&lt;1,0,LARGE($R$2:$R$25,3))</f>
        <v>105.95001299999998</v>
      </c>
      <c r="F102" s="70" t="str">
        <f t="shared" si="3"/>
        <v>Lianne Discepola</v>
      </c>
      <c r="G102" s="68" t="str">
        <f t="shared" si="4"/>
        <v>Cedar</v>
      </c>
      <c r="H102" s="71"/>
      <c r="I102" s="72" t="str">
        <f t="shared" si="5"/>
        <v/>
      </c>
      <c r="R102" s="45">
        <f t="shared" si="6"/>
        <v>0</v>
      </c>
      <c r="S102" s="45">
        <f t="shared" si="7"/>
        <v>0</v>
      </c>
      <c r="T102" s="73" t="str">
        <f t="shared" si="8"/>
        <v>Cedar</v>
      </c>
    </row>
    <row r="103" spans="1:20" x14ac:dyDescent="0.25">
      <c r="C103" s="67">
        <f>IF(E103&lt;1,0,IF(INT(E103*100)=INT(E102*100),C102,4))</f>
        <v>4</v>
      </c>
      <c r="D103" s="68">
        <f>IF(OR(C103&lt;1,H103&lt;&gt;"",COUNTIF(T$100:T103,T103)&gt;3),"",VLOOKUP(C103-COUNTA(H$100:H103),DD!$E$24:$F$49,2))</f>
        <v>11</v>
      </c>
      <c r="E103" s="69">
        <f>IF(LARGE($R$2:$R$25,4)&lt;1,0,LARGE($R$2:$R$25,4))</f>
        <v>100.40002000000001</v>
      </c>
      <c r="F103" s="70" t="str">
        <f t="shared" si="3"/>
        <v>Maya Narchessault</v>
      </c>
      <c r="G103" s="68" t="str">
        <f t="shared" si="4"/>
        <v>Side</v>
      </c>
      <c r="H103" s="71"/>
      <c r="I103" s="72" t="str">
        <f t="shared" si="5"/>
        <v/>
      </c>
      <c r="R103" s="45">
        <f t="shared" si="6"/>
        <v>11</v>
      </c>
      <c r="S103" s="45">
        <f t="shared" si="7"/>
        <v>0</v>
      </c>
      <c r="T103" s="73" t="str">
        <f t="shared" si="8"/>
        <v>Side</v>
      </c>
    </row>
    <row r="104" spans="1:20" x14ac:dyDescent="0.25">
      <c r="C104" s="67">
        <f>IF(E104&lt;1,0,IF(INT(E104*100)=INT(E103*100),C103,5))</f>
        <v>5</v>
      </c>
      <c r="D104" s="68">
        <f>IF(OR(C104&lt;1,H104&lt;&gt;"",COUNTIF(T$100:T104,T104)&gt;3),"",VLOOKUP(C104-COUNTA(H$100:H104),DD!$E$24:$F$49,2))</f>
        <v>10</v>
      </c>
      <c r="E104" s="69">
        <f>IF(LARGE($R$2:$R$25,5)&lt;1,0,LARGE($R$2:$R$25,5))</f>
        <v>96.450009999999992</v>
      </c>
      <c r="F104" s="70" t="str">
        <f t="shared" si="3"/>
        <v>Kaitlyn Ip</v>
      </c>
      <c r="G104" s="68" t="str">
        <f t="shared" si="4"/>
        <v>HCP</v>
      </c>
      <c r="H104" s="71"/>
      <c r="I104" s="72" t="str">
        <f t="shared" si="5"/>
        <v/>
      </c>
      <c r="R104" s="45">
        <f t="shared" si="6"/>
        <v>0</v>
      </c>
      <c r="S104" s="45">
        <f t="shared" si="7"/>
        <v>0</v>
      </c>
      <c r="T104" s="73" t="str">
        <f t="shared" si="8"/>
        <v>HCP</v>
      </c>
    </row>
    <row r="105" spans="1:20" x14ac:dyDescent="0.25">
      <c r="C105" s="67">
        <f>IF(E105&lt;1,0,IF(INT(E105*100)=INT(E104*100),C104,6))</f>
        <v>6</v>
      </c>
      <c r="D105" s="68">
        <f>IF(OR(C105&lt;1,H105&lt;&gt;"",COUNTIF(T$100:T105,T105)&gt;3),"",VLOOKUP(C105-COUNTA(H$100:H105),DD!$E$24:$F$49,2))</f>
        <v>9</v>
      </c>
      <c r="E105" s="69">
        <f>IF(LARGE($R$2:$R$25,6)&lt;1,0,LARGE($R$2:$R$25,6))</f>
        <v>95.400002000000001</v>
      </c>
      <c r="F105" s="70" t="str">
        <f t="shared" si="3"/>
        <v>Alyssa Ross</v>
      </c>
      <c r="G105" s="68" t="str">
        <f t="shared" si="4"/>
        <v>VIK</v>
      </c>
      <c r="H105" s="71"/>
      <c r="I105" s="72" t="str">
        <f t="shared" si="5"/>
        <v/>
      </c>
      <c r="R105" s="45">
        <f t="shared" si="6"/>
        <v>0</v>
      </c>
      <c r="S105" s="45">
        <f t="shared" si="7"/>
        <v>0</v>
      </c>
      <c r="T105" s="73" t="str">
        <f t="shared" si="8"/>
        <v>VIK</v>
      </c>
    </row>
    <row r="106" spans="1:20" x14ac:dyDescent="0.25">
      <c r="C106" s="67">
        <f>IF(E106&lt;1,0,IF(INT(E106*100)=INT(E105*100),C105,7))</f>
        <v>7</v>
      </c>
      <c r="D106" s="68">
        <f>IF(OR(C106&lt;1,H106&lt;&gt;"",COUNTIF(T$100:T106,T106)&gt;3),"",VLOOKUP(C106-COUNTA(H$100:H106),DD!$E$24:$F$49,2))</f>
        <v>7</v>
      </c>
      <c r="E106" s="69">
        <f>IF(LARGE($R$2:$R$25,7)&lt;1,0,LARGE($R$2:$R$25,7))</f>
        <v>92.950006000000002</v>
      </c>
      <c r="F106" s="70" t="str">
        <f t="shared" si="3"/>
        <v>Eve Vigneault</v>
      </c>
      <c r="G106" s="68" t="str">
        <f t="shared" si="4"/>
        <v>WLRC</v>
      </c>
      <c r="H106" s="71"/>
      <c r="I106" s="72" t="str">
        <f t="shared" si="5"/>
        <v/>
      </c>
      <c r="R106" s="45">
        <f t="shared" si="6"/>
        <v>0</v>
      </c>
      <c r="S106" s="45">
        <f t="shared" si="7"/>
        <v>0</v>
      </c>
      <c r="T106" s="73" t="str">
        <f t="shared" si="8"/>
        <v>WLRC</v>
      </c>
    </row>
    <row r="107" spans="1:20" x14ac:dyDescent="0.25">
      <c r="C107" s="67">
        <f>IF(E107&lt;1,0,IF(INT(E107*100)=INT(E106*100),C106,8))</f>
        <v>8</v>
      </c>
      <c r="D107" s="68">
        <f>IF(OR(C107&lt;1,H107&lt;&gt;"",COUNTIF(T$100:T107,T107)&gt;3),"",VLOOKUP(C107-COUNTA(H$100:H107),DD!$E$24:$F$49,2))</f>
        <v>5</v>
      </c>
      <c r="E107" s="69">
        <f>IF(LARGE($R$2:$R$25,8)&lt;1,0,LARGE($R$2:$R$25,8))</f>
        <v>88.20002199999999</v>
      </c>
      <c r="F107" s="70" t="str">
        <f t="shared" si="3"/>
        <v>Myriam Akrivos</v>
      </c>
      <c r="G107" s="68" t="str">
        <f t="shared" si="4"/>
        <v>WLRC</v>
      </c>
      <c r="H107" s="71"/>
      <c r="I107" s="72" t="str">
        <f t="shared" si="5"/>
        <v/>
      </c>
      <c r="R107" s="45">
        <f t="shared" si="6"/>
        <v>0</v>
      </c>
      <c r="S107" s="45">
        <f t="shared" si="7"/>
        <v>0</v>
      </c>
      <c r="T107" s="73" t="str">
        <f t="shared" si="8"/>
        <v>WLRC</v>
      </c>
    </row>
    <row r="108" spans="1:20" x14ac:dyDescent="0.25">
      <c r="C108" s="67">
        <f>IF(E108&lt;1,0,IF(INT(E108*100)=INT(E107*100),C107,9))</f>
        <v>9</v>
      </c>
      <c r="D108" s="68">
        <f>IF(OR(C108&lt;1,H108&lt;&gt;"",COUNTIF(T$100:T108,T108)&gt;3),"",VLOOKUP(C108-COUNTA(H$100:H108),DD!$E$24:$F$49,2))</f>
        <v>4</v>
      </c>
      <c r="E108" s="69">
        <f>IF(LARGE($R$2:$R$25,9)&lt;1,0,LARGE($R$2:$R$25,9))</f>
        <v>87.400008</v>
      </c>
      <c r="F108" s="70" t="str">
        <f t="shared" si="3"/>
        <v>Evelyne De Sales-Laterriere</v>
      </c>
      <c r="G108" s="68" t="str">
        <f t="shared" si="4"/>
        <v>Side</v>
      </c>
      <c r="H108" s="71"/>
      <c r="I108" s="72" t="str">
        <f t="shared" si="5"/>
        <v/>
      </c>
      <c r="R108" s="45">
        <f t="shared" si="6"/>
        <v>4</v>
      </c>
      <c r="S108" s="45">
        <f t="shared" si="7"/>
        <v>0</v>
      </c>
      <c r="T108" s="73" t="str">
        <f t="shared" si="8"/>
        <v>Side</v>
      </c>
    </row>
    <row r="109" spans="1:20" x14ac:dyDescent="0.25">
      <c r="C109" s="67">
        <f>IF(E109&lt;1,0,IF(INT(E109*100)=INT(E108*100),C108,10))</f>
        <v>10</v>
      </c>
      <c r="D109" s="68">
        <f>IF(OR(C109&lt;1,H109&lt;&gt;"",COUNTIF(T$100:T109,T109)&gt;3),"",VLOOKUP(C109-COUNTA(H$100:H109),DD!$E$24:$F$49,2))</f>
        <v>3</v>
      </c>
      <c r="E109" s="69">
        <f>IF(LARGE($R$2:$R$25,10)&lt;1,0,LARGE($R$2:$R$25,10))</f>
        <v>86.100023999999991</v>
      </c>
      <c r="F109" s="70" t="str">
        <f t="shared" si="3"/>
        <v>Sophia Cyrenne</v>
      </c>
      <c r="G109" s="68" t="str">
        <f t="shared" si="4"/>
        <v>SNVL</v>
      </c>
      <c r="H109" s="71"/>
      <c r="I109" s="72" t="str">
        <f t="shared" si="5"/>
        <v/>
      </c>
      <c r="R109" s="45">
        <f t="shared" si="6"/>
        <v>0</v>
      </c>
      <c r="S109" s="45">
        <f t="shared" si="7"/>
        <v>0</v>
      </c>
      <c r="T109" s="73" t="str">
        <f t="shared" si="8"/>
        <v>SNVL</v>
      </c>
    </row>
    <row r="110" spans="1:20" x14ac:dyDescent="0.25">
      <c r="C110" s="67">
        <f>IF(E110&lt;1,0,IF(INT(E110*100)=INT(E109*100),C109,11))</f>
        <v>11</v>
      </c>
      <c r="D110" s="68">
        <f>IF(OR(C110&lt;1,H110&lt;&gt;"",COUNTIF(T$100:T110,T110)&gt;3),"",VLOOKUP(C110-COUNTA(H$100:H110),DD!$E$24:$F$49,2))</f>
        <v>2</v>
      </c>
      <c r="E110" s="69">
        <f>IF(LARGE($R$2:$R$25,11)&lt;1,0,LARGE($R$2:$R$25,11))</f>
        <v>85.450006999999985</v>
      </c>
      <c r="F110" s="70" t="str">
        <f t="shared" si="3"/>
        <v>Gabby Esposito</v>
      </c>
      <c r="G110" s="68" t="str">
        <f t="shared" si="4"/>
        <v>Val</v>
      </c>
      <c r="H110" s="71"/>
      <c r="I110" s="72" t="str">
        <f t="shared" si="5"/>
        <v/>
      </c>
      <c r="R110" s="45">
        <f t="shared" si="6"/>
        <v>0</v>
      </c>
      <c r="S110" s="45">
        <f t="shared" si="7"/>
        <v>0</v>
      </c>
      <c r="T110" s="73" t="str">
        <f t="shared" si="8"/>
        <v>Val</v>
      </c>
    </row>
    <row r="111" spans="1:20" x14ac:dyDescent="0.25">
      <c r="C111" s="67">
        <f>IF(E111&lt;1,0,IF(INT(E111*100)=INT(E110*100),C110,12))</f>
        <v>12</v>
      </c>
      <c r="D111" s="68">
        <f>IF(OR(C111&lt;1,H111&lt;&gt;"",COUNTIF(T$100:T111,T111)&gt;3),"",VLOOKUP(C111-COUNTA(H$100:H111),DD!$E$24:$F$49,2))</f>
        <v>1</v>
      </c>
      <c r="E111" s="69">
        <f>IF(LARGE($R$2:$R$25,12)&lt;1,0,LARGE($R$2:$R$25,12))</f>
        <v>83.150000999999989</v>
      </c>
      <c r="F111" s="70" t="str">
        <f t="shared" si="3"/>
        <v>Verona Huber-Chois</v>
      </c>
      <c r="G111" s="68" t="str">
        <f t="shared" si="4"/>
        <v>Side</v>
      </c>
      <c r="H111" s="71"/>
      <c r="I111" s="72" t="str">
        <f t="shared" si="5"/>
        <v/>
      </c>
      <c r="R111" s="45">
        <f t="shared" si="6"/>
        <v>1</v>
      </c>
      <c r="S111" s="45">
        <f t="shared" si="7"/>
        <v>0</v>
      </c>
      <c r="T111" s="73" t="str">
        <f t="shared" si="8"/>
        <v>Side</v>
      </c>
    </row>
    <row r="112" spans="1:20" x14ac:dyDescent="0.25">
      <c r="C112" s="67">
        <f>IF(E112&lt;1,0,IF(INT(E112*100)=INT(E111*100),C111,13))</f>
        <v>13</v>
      </c>
      <c r="D112" s="68">
        <f>IF(OR(C112&lt;1,H112&lt;&gt;"",COUNTIF(T$100:T112,T112)&gt;3),"",VLOOKUP(C112-COUNTA(H$100:H112),DD!$E$24:$F$49,2))</f>
        <v>0</v>
      </c>
      <c r="E112" s="69">
        <f>IF(LARGE($R$2:$R$25,13)&lt;1,0,LARGE($R$2:$R$25,13))</f>
        <v>75.15000400000001</v>
      </c>
      <c r="F112" s="70" t="str">
        <f t="shared" si="3"/>
        <v>Tess Szekula</v>
      </c>
      <c r="G112" s="68" t="str">
        <f t="shared" si="4"/>
        <v>Val</v>
      </c>
      <c r="H112" s="71"/>
      <c r="I112" s="72" t="str">
        <f t="shared" si="5"/>
        <v/>
      </c>
      <c r="R112" s="45">
        <f t="shared" si="6"/>
        <v>0</v>
      </c>
      <c r="S112" s="45">
        <f t="shared" si="7"/>
        <v>0</v>
      </c>
      <c r="T112" s="73" t="str">
        <f t="shared" si="8"/>
        <v>Val</v>
      </c>
    </row>
    <row r="113" spans="3:20" x14ac:dyDescent="0.25">
      <c r="C113" s="67">
        <f>IF(E113&lt;1,0,IF(INT(E113*100)=INT(E112*100),C112,14))</f>
        <v>14</v>
      </c>
      <c r="D113" s="68">
        <f>IF(OR(C113&lt;1,H113&lt;&gt;"",COUNTIF(T$100:T113,T113)&gt;3),"",VLOOKUP(C113-COUNTA(H$100:H113),DD!$E$24:$F$49,2))</f>
        <v>0</v>
      </c>
      <c r="E113" s="69">
        <f>IF(LARGE($R$2:$R$25,14)&lt;1,0,LARGE($R$2:$R$25,14))</f>
        <v>69.250016000000002</v>
      </c>
      <c r="F113" s="70" t="str">
        <f t="shared" si="3"/>
        <v>Mackenzie Brook</v>
      </c>
      <c r="G113" s="68" t="str">
        <f t="shared" si="4"/>
        <v>BHILL</v>
      </c>
      <c r="H113" s="71"/>
      <c r="I113" s="72" t="str">
        <f t="shared" si="5"/>
        <v/>
      </c>
      <c r="R113" s="45">
        <f t="shared" si="6"/>
        <v>0</v>
      </c>
      <c r="S113" s="45">
        <f t="shared" si="7"/>
        <v>0</v>
      </c>
      <c r="T113" s="73" t="str">
        <f t="shared" si="8"/>
        <v>BHILL</v>
      </c>
    </row>
    <row r="114" spans="3:20" x14ac:dyDescent="0.25">
      <c r="C114" s="67">
        <f>IF(E114&lt;1,0,IF(INT(E114*100)=INT(E113*100),C113,15))</f>
        <v>15</v>
      </c>
      <c r="D114" s="68">
        <f>IF(OR(C114&lt;1,H114&lt;&gt;"",COUNTIF(T$100:T114,T114)&gt;3),"",VLOOKUP(C114-COUNTA(H$100:H114),DD!$E$24:$F$49,2))</f>
        <v>0</v>
      </c>
      <c r="E114" s="69">
        <f>IF(LARGE($R$2:$R$25,15)&lt;1,0,LARGE($R$2:$R$25,15))</f>
        <v>69.200010999999989</v>
      </c>
      <c r="F114" s="70" t="str">
        <f t="shared" si="3"/>
        <v>Laurie Beluse</v>
      </c>
      <c r="G114" s="68" t="str">
        <f t="shared" si="4"/>
        <v>WLRC</v>
      </c>
      <c r="H114" s="71"/>
      <c r="I114" s="72" t="str">
        <f t="shared" si="5"/>
        <v/>
      </c>
      <c r="R114" s="45">
        <f t="shared" si="6"/>
        <v>0</v>
      </c>
      <c r="S114" s="45">
        <f t="shared" si="7"/>
        <v>0</v>
      </c>
      <c r="T114" s="73" t="str">
        <f t="shared" si="8"/>
        <v>WLRC</v>
      </c>
    </row>
    <row r="115" spans="3:20" x14ac:dyDescent="0.25">
      <c r="C115" s="67">
        <f>IF(E115&lt;1,0,IF(INT(E115*100)=INT(E114*100),C114,16))</f>
        <v>16</v>
      </c>
      <c r="D115" s="68">
        <f>IF(OR(C115&lt;1,H115&lt;&gt;"",COUNTIF(T$100:T115,T115)&gt;3),"",VLOOKUP(C115-COUNTA(H$100:H115),DD!$E$24:$F$49,2))</f>
        <v>0</v>
      </c>
      <c r="E115" s="69">
        <f>IF(LARGE($R$2:$R$25,16)&lt;1,0,LARGE($R$2:$R$25,16))</f>
        <v>68.80001399999999</v>
      </c>
      <c r="F115" s="70" t="str">
        <f t="shared" si="3"/>
        <v>Lucy Wood</v>
      </c>
      <c r="G115" s="68" t="str">
        <f t="shared" si="4"/>
        <v>MWAC</v>
      </c>
      <c r="H115" s="71"/>
      <c r="I115" s="72" t="str">
        <f t="shared" si="5"/>
        <v/>
      </c>
      <c r="R115" s="45">
        <f t="shared" si="6"/>
        <v>0</v>
      </c>
      <c r="S115" s="45">
        <f t="shared" si="7"/>
        <v>0</v>
      </c>
      <c r="T115" s="73" t="str">
        <f t="shared" si="8"/>
        <v>MWAC</v>
      </c>
    </row>
    <row r="116" spans="3:20" x14ac:dyDescent="0.25">
      <c r="C116" s="67">
        <f>IF(E116&lt;1,0,IF(INT(E116*100)=INT(E115*100),C115,17))</f>
        <v>17</v>
      </c>
      <c r="D116" s="68">
        <f>IF(OR(C116&lt;1,H116&lt;&gt;"",COUNTIF(T$100:T116,T116)&gt;3),"",VLOOKUP(C116-COUNTA(H$100:H116),DD!$E$24:$F$49,2))</f>
        <v>0</v>
      </c>
      <c r="E116" s="69">
        <f>IF(LARGE($R$2:$R$25,17)&lt;1,0,LARGE($R$2:$R$25,17))</f>
        <v>58.750005000000002</v>
      </c>
      <c r="F116" s="70" t="str">
        <f t="shared" si="3"/>
        <v>Emily Roy</v>
      </c>
      <c r="G116" s="68" t="str">
        <f t="shared" si="4"/>
        <v>HCP</v>
      </c>
      <c r="H116" s="71"/>
      <c r="I116" s="72" t="str">
        <f t="shared" si="5"/>
        <v/>
      </c>
      <c r="R116" s="45">
        <f t="shared" si="6"/>
        <v>0</v>
      </c>
      <c r="S116" s="45">
        <f t="shared" si="7"/>
        <v>0</v>
      </c>
      <c r="T116" s="73" t="str">
        <f t="shared" si="8"/>
        <v>HCP</v>
      </c>
    </row>
    <row r="117" spans="3:20" x14ac:dyDescent="0.25">
      <c r="C117" s="67">
        <f>IF(E117&lt;1,0,IF(INT(E117*100)=INT(E116*100),C116,18))</f>
        <v>0</v>
      </c>
      <c r="D117" s="68" t="str">
        <f>IF(OR(C117&lt;1,H117&lt;&gt;"",COUNTIF(T$100:T117,T117)&gt;3),"",VLOOKUP(C117-COUNTA(H$100:H117),DD!$E$24:$F$49,2))</f>
        <v/>
      </c>
      <c r="E117" s="69">
        <f>IF(LARGE($R$2:$R$25,18)&lt;1,0,LARGE($R$2:$R$25,18))</f>
        <v>0</v>
      </c>
      <c r="F117" s="70">
        <f t="shared" si="3"/>
        <v>0</v>
      </c>
      <c r="G117" s="68">
        <f t="shared" si="4"/>
        <v>0</v>
      </c>
      <c r="H117" s="71"/>
      <c r="I117" s="72" t="str">
        <f t="shared" si="5"/>
        <v/>
      </c>
      <c r="R117" s="45">
        <f t="shared" si="6"/>
        <v>0</v>
      </c>
      <c r="S117" s="45">
        <f t="shared" si="7"/>
        <v>0</v>
      </c>
      <c r="T117" s="73" t="str">
        <f t="shared" si="8"/>
        <v>0</v>
      </c>
    </row>
    <row r="118" spans="3:20" x14ac:dyDescent="0.25">
      <c r="C118" s="67">
        <f>IF(E118&lt;1,0,IF(INT(E118*100)=INT(E117*100),C117,19))</f>
        <v>0</v>
      </c>
      <c r="D118" s="68" t="str">
        <f>IF(OR(C118&lt;1,H118&lt;&gt;"",COUNTIF(T$100:T118,T118)&gt;3),"",VLOOKUP(C118-COUNTA(H$100:H118),DD!$E$24:$F$49,2))</f>
        <v/>
      </c>
      <c r="E118" s="69">
        <f>IF(LARGE($R$2:$R$25,19)&lt;1,0,LARGE($R$2:$R$25,19))</f>
        <v>0</v>
      </c>
      <c r="F118" s="70">
        <f t="shared" si="3"/>
        <v>0</v>
      </c>
      <c r="G118" s="68">
        <f t="shared" si="4"/>
        <v>0</v>
      </c>
      <c r="H118" s="71"/>
      <c r="I118" s="72" t="str">
        <f t="shared" si="5"/>
        <v/>
      </c>
      <c r="R118" s="45">
        <f t="shared" si="6"/>
        <v>0</v>
      </c>
      <c r="S118" s="45">
        <f t="shared" si="7"/>
        <v>0</v>
      </c>
      <c r="T118" s="73" t="str">
        <f t="shared" si="8"/>
        <v>0</v>
      </c>
    </row>
    <row r="119" spans="3:20" x14ac:dyDescent="0.25">
      <c r="C119" s="67">
        <f>IF(E119&lt;1,0,IF(INT(E119*100)=INT(E118*100),C118,20))</f>
        <v>0</v>
      </c>
      <c r="D119" s="68" t="str">
        <f>IF(OR(C119&lt;1,H119&lt;&gt;"",COUNTIF(T$100:T119,T119)&gt;3),"",VLOOKUP(C119-COUNTA(H$100:H119),DD!$E$24:$F$49,2))</f>
        <v/>
      </c>
      <c r="E119" s="69">
        <f>IF(LARGE($R$2:$R$25,20)&lt;1,0,LARGE($R$2:$R$25,20))</f>
        <v>0</v>
      </c>
      <c r="F119" s="70">
        <f t="shared" si="3"/>
        <v>0</v>
      </c>
      <c r="G119" s="68">
        <f t="shared" si="4"/>
        <v>0</v>
      </c>
      <c r="H119" s="71"/>
      <c r="I119" s="72" t="str">
        <f t="shared" si="5"/>
        <v/>
      </c>
      <c r="R119" s="45">
        <f t="shared" si="6"/>
        <v>0</v>
      </c>
      <c r="S119" s="45">
        <f t="shared" si="7"/>
        <v>0</v>
      </c>
      <c r="T119" s="73" t="str">
        <f t="shared" si="8"/>
        <v>0</v>
      </c>
    </row>
    <row r="120" spans="3:20" x14ac:dyDescent="0.25">
      <c r="C120" s="67">
        <f>IF(E120&lt;1,0,IF(INT(E120*100)=INT(E119*100),C119,21))</f>
        <v>0</v>
      </c>
      <c r="D120" s="68" t="str">
        <f>IF(OR(C120&lt;1,H120&lt;&gt;"",COUNTIF(T$100:T120,T120)&gt;3),"",VLOOKUP(C120-COUNTA(H$100:H120),DD!$E$24:$F$49,2))</f>
        <v/>
      </c>
      <c r="E120" s="69">
        <f>IF(LARGE($R$2:$R$25,21)&lt;1,0,LARGE($R$2:$R$25,21))</f>
        <v>0</v>
      </c>
      <c r="F120" s="70">
        <f t="shared" si="3"/>
        <v>0</v>
      </c>
      <c r="G120" s="68">
        <f t="shared" si="4"/>
        <v>0</v>
      </c>
      <c r="H120" s="71"/>
      <c r="I120" s="72" t="str">
        <f t="shared" si="5"/>
        <v/>
      </c>
      <c r="R120" s="45">
        <f t="shared" si="6"/>
        <v>0</v>
      </c>
      <c r="S120" s="45">
        <f t="shared" si="7"/>
        <v>0</v>
      </c>
      <c r="T120" s="73" t="str">
        <f t="shared" si="8"/>
        <v>0</v>
      </c>
    </row>
    <row r="121" spans="3:20" x14ac:dyDescent="0.25">
      <c r="C121" s="67">
        <f>IF(E121&lt;1,0,IF(INT(E121*100)=INT(E120*100),C120,22))</f>
        <v>0</v>
      </c>
      <c r="D121" s="68" t="str">
        <f>IF(OR(C121&lt;1,H121&lt;&gt;"",COUNTIF(T$100:T121,T121)&gt;3),"",VLOOKUP(C121-COUNTA(H$100:H121),DD!$E$24:$F$49,2))</f>
        <v/>
      </c>
      <c r="E121" s="69">
        <f>IF(LARGE($R$2:$R$25,22)&lt;1,0,LARGE($R$2:$R$25,22))</f>
        <v>0</v>
      </c>
      <c r="F121" s="70">
        <f t="shared" si="3"/>
        <v>0</v>
      </c>
      <c r="G121" s="68">
        <f t="shared" si="4"/>
        <v>0</v>
      </c>
      <c r="H121" s="71"/>
      <c r="I121" s="72" t="str">
        <f t="shared" si="5"/>
        <v/>
      </c>
      <c r="R121" s="45">
        <f t="shared" si="6"/>
        <v>0</v>
      </c>
      <c r="S121" s="45">
        <f t="shared" si="7"/>
        <v>0</v>
      </c>
      <c r="T121" s="73" t="str">
        <f t="shared" si="8"/>
        <v>0</v>
      </c>
    </row>
    <row r="122" spans="3:20" x14ac:dyDescent="0.25">
      <c r="C122" s="67">
        <f>IF(E122&lt;1,0,IF(INT(E122*100)=INT(E121*100),C121,23))</f>
        <v>0</v>
      </c>
      <c r="D122" s="68" t="str">
        <f>IF(OR(C122&lt;1,H122&lt;&gt;"",COUNTIF(T$100:T122,T122)&gt;3),"",VLOOKUP(C122-COUNTA(H$100:H122),DD!$E$24:$F$49,2))</f>
        <v/>
      </c>
      <c r="E122" s="69">
        <f>IF(LARGE($R$2:$R$25,23)&lt;1,0,LARGE($R$2:$R$25,23))</f>
        <v>0</v>
      </c>
      <c r="F122" s="70">
        <f t="shared" si="3"/>
        <v>0</v>
      </c>
      <c r="G122" s="68">
        <f t="shared" si="4"/>
        <v>0</v>
      </c>
      <c r="H122" s="71"/>
      <c r="I122" s="72" t="str">
        <f t="shared" si="5"/>
        <v/>
      </c>
      <c r="R122" s="45">
        <f t="shared" si="6"/>
        <v>0</v>
      </c>
      <c r="S122" s="45">
        <f t="shared" si="7"/>
        <v>0</v>
      </c>
      <c r="T122" s="73" t="str">
        <f t="shared" si="8"/>
        <v>0</v>
      </c>
    </row>
    <row r="123" spans="3:20" x14ac:dyDescent="0.25">
      <c r="C123" s="67">
        <f>IF(E123&lt;1,0,IF(INT(E123*100)=INT(E122*100),C122,24))</f>
        <v>0</v>
      </c>
      <c r="D123" s="68" t="str">
        <f>IF(OR(C123&lt;1,H123&lt;&gt;"",COUNTIF(T$100:T123,T123)&gt;3),"",VLOOKUP(C123-COUNTA(H$100:H123),DD!$E$24:$F$49,2))</f>
        <v/>
      </c>
      <c r="E123" s="69">
        <f>IF(LARGE($R$2:$R$25,24)&lt;1,0,LARGE($R$2:$R$25,24))</f>
        <v>0</v>
      </c>
      <c r="F123" s="70">
        <f t="shared" si="3"/>
        <v>0</v>
      </c>
      <c r="G123" s="68">
        <f t="shared" si="4"/>
        <v>0</v>
      </c>
      <c r="H123" s="71"/>
      <c r="I123" s="72" t="str">
        <f>IF(AND(C123=C122,C123&lt;&gt;0),"TIE","")</f>
        <v/>
      </c>
      <c r="R123" s="45">
        <f t="shared" si="6"/>
        <v>0</v>
      </c>
      <c r="S123" s="45">
        <f t="shared" si="7"/>
        <v>0</v>
      </c>
      <c r="T123" s="73" t="str">
        <f t="shared" si="8"/>
        <v>0</v>
      </c>
    </row>
    <row r="124" spans="3:20" x14ac:dyDescent="0.25">
      <c r="C124" s="74"/>
      <c r="D124" s="75"/>
      <c r="E124" s="76"/>
      <c r="F124" s="77"/>
      <c r="G124" s="75"/>
      <c r="H124" s="78"/>
      <c r="I124" s="79"/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1155" priority="2">
      <formula>IF(SUM(G2:G3)&gt;3.7,1,0)</formula>
    </cfRule>
  </conditionalFormatting>
  <conditionalFormatting sqref="G2">
    <cfRule type="expression" dxfId="1154" priority="3">
      <formula>IF(SUM(G2:G3)&gt;3.7,1,0)</formula>
    </cfRule>
  </conditionalFormatting>
  <conditionalFormatting sqref="E3">
    <cfRule type="expression" dxfId="1153" priority="4">
      <formula>IF(E3="",0,IF(LEFT(E3,1)=LEFT(E2,1),1,0))</formula>
    </cfRule>
  </conditionalFormatting>
  <conditionalFormatting sqref="E5">
    <cfRule type="expression" dxfId="1152" priority="5">
      <formula>IF(E5="",0,IF(OR(LEFT(E5,LEN(E5)-1)=LEFT(E4,LEN(E4)-1),LEFT(E5,LEN(E5)-1)=LEFT(E3,LEN(E3)-1),LEFT(E5,LEN(E5)-1)=LEFT(E2,LEN(E2)-1),LEFT(E5,1)=LEFT(E4,1)),1,0))</formula>
    </cfRule>
  </conditionalFormatting>
  <conditionalFormatting sqref="E4">
    <cfRule type="expression" dxfId="1151" priority="6">
      <formula>IF(E4="",0,IF(OR(LEFT(E4,LEN(E4)-1)=LEFT(E3,LEN(E3)-1),LEFT(E4,LEN(E4)-1)=LEFT(E2,LEN(E2)-1)),1,0))</formula>
    </cfRule>
  </conditionalFormatting>
  <conditionalFormatting sqref="G7">
    <cfRule type="expression" dxfId="1150" priority="7">
      <formula>IF(SUM(G6:G7)&gt;3.7,1,0)</formula>
    </cfRule>
  </conditionalFormatting>
  <conditionalFormatting sqref="G6">
    <cfRule type="expression" dxfId="1149" priority="8">
      <formula>IF(SUM(G6:G7)&gt;3.7,1,0)</formula>
    </cfRule>
  </conditionalFormatting>
  <conditionalFormatting sqref="E7">
    <cfRule type="expression" dxfId="1148" priority="9">
      <formula>IF(E7="",0,IF(LEFT(E7,1)=LEFT(E6,1),1,0))</formula>
    </cfRule>
  </conditionalFormatting>
  <conditionalFormatting sqref="E9">
    <cfRule type="expression" dxfId="1147" priority="10">
      <formula>IF(E9="",0,IF(OR(LEFT(E9,LEN(E9)-1)=LEFT(E8,LEN(E8)-1),LEFT(E9,LEN(E9)-1)=LEFT(E7,LEN(E7)-1),LEFT(E9,LEN(E9)-1)=LEFT(E6,LEN(E6)-1),LEFT(E9,1)=LEFT(E8,1)),1,0))</formula>
    </cfRule>
  </conditionalFormatting>
  <conditionalFormatting sqref="E8">
    <cfRule type="expression" dxfId="1146" priority="11">
      <formula>IF(E8="",0,IF(OR(LEFT(E8,LEN(E8)-1)=LEFT(E7,LEN(E7)-1),LEFT(E8,LEN(E8)-1)=LEFT(E6,LEN(E6)-1)),1,0))</formula>
    </cfRule>
  </conditionalFormatting>
  <conditionalFormatting sqref="G11">
    <cfRule type="expression" dxfId="1145" priority="12">
      <formula>IF(SUM(G10:G11)&gt;3.7,1,0)</formula>
    </cfRule>
  </conditionalFormatting>
  <conditionalFormatting sqref="G10">
    <cfRule type="expression" dxfId="1144" priority="13">
      <formula>IF(SUM(G10:G11)&gt;3.7,1,0)</formula>
    </cfRule>
  </conditionalFormatting>
  <conditionalFormatting sqref="E11">
    <cfRule type="expression" dxfId="1143" priority="14">
      <formula>IF(E11="",0,IF(LEFT(E11,1)=LEFT(E10,1),1,0))</formula>
    </cfRule>
  </conditionalFormatting>
  <conditionalFormatting sqref="E13">
    <cfRule type="expression" dxfId="1142" priority="15">
      <formula>IF(E13="",0,IF(OR(LEFT(E13,LEN(E13)-1)=LEFT(E12,LEN(E12)-1),LEFT(E13,LEN(E13)-1)=LEFT(E11,LEN(E11)-1),LEFT(E13,LEN(E13)-1)=LEFT(E10,LEN(E10)-1),LEFT(E13,1)=LEFT(E12,1)),1,0))</formula>
    </cfRule>
  </conditionalFormatting>
  <conditionalFormatting sqref="E12">
    <cfRule type="expression" dxfId="1141" priority="16">
      <formula>IF(E12="",0,IF(OR(LEFT(E12,LEN(E12)-1)=LEFT(E11,LEN(E11)-1),LEFT(E12,LEN(E12)-1)=LEFT(E10,LEN(E10)-1)),1,0))</formula>
    </cfRule>
  </conditionalFormatting>
  <conditionalFormatting sqref="G15">
    <cfRule type="expression" dxfId="1140" priority="17">
      <formula>IF(SUM(G14:G15)&gt;3.7,1,0)</formula>
    </cfRule>
  </conditionalFormatting>
  <conditionalFormatting sqref="G14">
    <cfRule type="expression" dxfId="1139" priority="18">
      <formula>IF(SUM(G14:G15)&gt;3.7,1,0)</formula>
    </cfRule>
  </conditionalFormatting>
  <conditionalFormatting sqref="E15">
    <cfRule type="expression" dxfId="1138" priority="19">
      <formula>IF(E15="",0,IF(LEFT(E15,1)=LEFT(E14,1),1,0))</formula>
    </cfRule>
  </conditionalFormatting>
  <conditionalFormatting sqref="E17">
    <cfRule type="expression" dxfId="1137" priority="20">
      <formula>IF(E17="",0,IF(OR(LEFT(E17,LEN(E17)-1)=LEFT(E16,LEN(E16)-1),LEFT(E17,LEN(E17)-1)=LEFT(E15,LEN(E15)-1),LEFT(E17,LEN(E17)-1)=LEFT(E14,LEN(E14)-1),LEFT(E17,1)=LEFT(E16,1)),1,0))</formula>
    </cfRule>
  </conditionalFormatting>
  <conditionalFormatting sqref="E16">
    <cfRule type="expression" dxfId="1136" priority="21">
      <formula>IF(E16="",0,IF(OR(LEFT(E16,LEN(E16)-1)=LEFT(E15,LEN(E15)-1),LEFT(E16,LEN(E16)-1)=LEFT(E14,LEN(E14)-1)),1,0))</formula>
    </cfRule>
  </conditionalFormatting>
  <conditionalFormatting sqref="G19">
    <cfRule type="expression" dxfId="1135" priority="22">
      <formula>IF(SUM(G18:G19)&gt;3.7,1,0)</formula>
    </cfRule>
  </conditionalFormatting>
  <conditionalFormatting sqref="G18">
    <cfRule type="expression" dxfId="1134" priority="23">
      <formula>IF(SUM(G18:G19)&gt;3.7,1,0)</formula>
    </cfRule>
  </conditionalFormatting>
  <conditionalFormatting sqref="E19">
    <cfRule type="expression" dxfId="1133" priority="24">
      <formula>IF(E19="",0,IF(LEFT(E19,1)=LEFT(E18,1),1,0))</formula>
    </cfRule>
  </conditionalFormatting>
  <conditionalFormatting sqref="E21">
    <cfRule type="expression" dxfId="1132" priority="25">
      <formula>IF(E21="",0,IF(OR(LEFT(E21,LEN(E21)-1)=LEFT(E20,LEN(E20)-1),LEFT(E21,LEN(E21)-1)=LEFT(E19,LEN(E19)-1),LEFT(E21,LEN(E21)-1)=LEFT(E18,LEN(E18)-1),LEFT(E21,1)=LEFT(E20,1)),1,0))</formula>
    </cfRule>
  </conditionalFormatting>
  <conditionalFormatting sqref="E20">
    <cfRule type="expression" dxfId="1131" priority="26">
      <formula>IF(E20="",0,IF(OR(LEFT(E20,LEN(E20)-1)=LEFT(E19,LEN(E19)-1),LEFT(E20,LEN(E20)-1)=LEFT(E18,LEN(E18)-1)),1,0))</formula>
    </cfRule>
  </conditionalFormatting>
  <conditionalFormatting sqref="G23">
    <cfRule type="expression" dxfId="1130" priority="27">
      <formula>IF(SUM(G22:G23)&gt;3.7,1,0)</formula>
    </cfRule>
  </conditionalFormatting>
  <conditionalFormatting sqref="G22">
    <cfRule type="expression" dxfId="1129" priority="28">
      <formula>IF(SUM(G22:G23)&gt;3.7,1,0)</formula>
    </cfRule>
  </conditionalFormatting>
  <conditionalFormatting sqref="E23">
    <cfRule type="expression" dxfId="1128" priority="29">
      <formula>IF(E23="",0,IF(LEFT(E23,1)=LEFT(E22,1),1,0))</formula>
    </cfRule>
  </conditionalFormatting>
  <conditionalFormatting sqref="E25">
    <cfRule type="expression" dxfId="1127" priority="30">
      <formula>IF(E25="",0,IF(OR(LEFT(E25,LEN(E25)-1)=LEFT(E24,LEN(E24)-1),LEFT(E25,LEN(E25)-1)=LEFT(E23,LEN(E23)-1),LEFT(E25,LEN(E25)-1)=LEFT(E22,LEN(E22)-1),LEFT(E25,1)=LEFT(E24,1)),1,0))</formula>
    </cfRule>
  </conditionalFormatting>
  <conditionalFormatting sqref="E24">
    <cfRule type="expression" dxfId="1126" priority="31">
      <formula>IF(E24="",0,IF(OR(LEFT(E24,LEN(E24)-1)=LEFT(E23,LEN(E23)-1),LEFT(E24,LEN(E24)-1)=LEFT(E22,LEN(E22)-1)),1,0))</formula>
    </cfRule>
  </conditionalFormatting>
  <conditionalFormatting sqref="G27">
    <cfRule type="expression" dxfId="1125" priority="32">
      <formula>IF(SUM(G26:G27)&gt;3.7,1,0)</formula>
    </cfRule>
  </conditionalFormatting>
  <conditionalFormatting sqref="G26">
    <cfRule type="expression" dxfId="1124" priority="33">
      <formula>IF(SUM(G26:G27)&gt;3.7,1,0)</formula>
    </cfRule>
  </conditionalFormatting>
  <conditionalFormatting sqref="E27">
    <cfRule type="expression" dxfId="1123" priority="34">
      <formula>IF(E27="",0,IF(LEFT(E27,1)=LEFT(E26,1),1,0))</formula>
    </cfRule>
  </conditionalFormatting>
  <conditionalFormatting sqref="E29">
    <cfRule type="expression" dxfId="1122" priority="35">
      <formula>IF(E29="",0,IF(OR(LEFT(E29,LEN(E29)-1)=LEFT(E28,LEN(E28)-1),LEFT(E29,LEN(E29)-1)=LEFT(E27,LEN(E27)-1),LEFT(E29,LEN(E29)-1)=LEFT(E26,LEN(E26)-1),LEFT(E29,1)=LEFT(E28,1)),1,0))</formula>
    </cfRule>
  </conditionalFormatting>
  <conditionalFormatting sqref="E28">
    <cfRule type="expression" dxfId="1121" priority="36">
      <formula>IF(E28="",0,IF(OR(LEFT(E28,LEN(E28)-1)=LEFT(E27,LEN(E27)-1),LEFT(E28,LEN(E28)-1)=LEFT(E26,LEN(E26)-1)),1,0))</formula>
    </cfRule>
  </conditionalFormatting>
  <conditionalFormatting sqref="G31">
    <cfRule type="expression" dxfId="1120" priority="37">
      <formula>IF(SUM(G30:G31)&gt;3.7,1,0)</formula>
    </cfRule>
  </conditionalFormatting>
  <conditionalFormatting sqref="G30">
    <cfRule type="expression" dxfId="1119" priority="38">
      <formula>IF(SUM(G30:G31)&gt;3.7,1,0)</formula>
    </cfRule>
  </conditionalFormatting>
  <conditionalFormatting sqref="E31">
    <cfRule type="expression" dxfId="1118" priority="39">
      <formula>IF(E31="",0,IF(LEFT(E31,1)=LEFT(E30,1),1,0))</formula>
    </cfRule>
  </conditionalFormatting>
  <conditionalFormatting sqref="E33">
    <cfRule type="expression" dxfId="1117" priority="40">
      <formula>IF(E33="",0,IF(OR(LEFT(E33,LEN(E33)-1)=LEFT(E32,LEN(E32)-1),LEFT(E33,LEN(E33)-1)=LEFT(E31,LEN(E31)-1),LEFT(E33,LEN(E33)-1)=LEFT(E30,LEN(E30)-1),LEFT(E33,1)=LEFT(E32,1)),1,0))</formula>
    </cfRule>
  </conditionalFormatting>
  <conditionalFormatting sqref="E32">
    <cfRule type="expression" dxfId="1116" priority="41">
      <formula>IF(E32="",0,IF(OR(LEFT(E32,LEN(E32)-1)=LEFT(E31,LEN(E31)-1),LEFT(E32,LEN(E32)-1)=LEFT(E30,LEN(E30)-1)),1,0))</formula>
    </cfRule>
  </conditionalFormatting>
  <conditionalFormatting sqref="G35">
    <cfRule type="expression" dxfId="1115" priority="42">
      <formula>IF(SUM(G34:G35)&gt;3.7,1,0)</formula>
    </cfRule>
  </conditionalFormatting>
  <conditionalFormatting sqref="G34">
    <cfRule type="expression" dxfId="1114" priority="43">
      <formula>IF(SUM(G34:G35)&gt;3.7,1,0)</formula>
    </cfRule>
  </conditionalFormatting>
  <conditionalFormatting sqref="E35">
    <cfRule type="expression" dxfId="1113" priority="44">
      <formula>IF(E35="",0,IF(LEFT(E35,1)=LEFT(E34,1),1,0))</formula>
    </cfRule>
  </conditionalFormatting>
  <conditionalFormatting sqref="E37">
    <cfRule type="expression" dxfId="1112" priority="45">
      <formula>IF(E37="",0,IF(OR(LEFT(E37,LEN(E37)-1)=LEFT(E36,LEN(E36)-1),LEFT(E37,LEN(E37)-1)=LEFT(E35,LEN(E35)-1),LEFT(E37,LEN(E37)-1)=LEFT(E34,LEN(E34)-1),LEFT(E37,1)=LEFT(E36,1)),1,0))</formula>
    </cfRule>
  </conditionalFormatting>
  <conditionalFormatting sqref="E36">
    <cfRule type="expression" dxfId="1111" priority="46">
      <formula>IF(E36="",0,IF(OR(LEFT(E36,LEN(E36)-1)=LEFT(E35,LEN(E35)-1),LEFT(E36,LEN(E36)-1)=LEFT(E34,LEN(E34)-1)),1,0))</formula>
    </cfRule>
  </conditionalFormatting>
  <conditionalFormatting sqref="G39">
    <cfRule type="expression" dxfId="1110" priority="47">
      <formula>IF(SUM(G38:G39)&gt;3.7,1,0)</formula>
    </cfRule>
  </conditionalFormatting>
  <conditionalFormatting sqref="G38">
    <cfRule type="expression" dxfId="1109" priority="48">
      <formula>IF(SUM(G38:G39)&gt;3.7,1,0)</formula>
    </cfRule>
  </conditionalFormatting>
  <conditionalFormatting sqref="E39">
    <cfRule type="expression" dxfId="1108" priority="49">
      <formula>IF(E39="",0,IF(LEFT(E39,1)=LEFT(E38,1),1,0))</formula>
    </cfRule>
  </conditionalFormatting>
  <conditionalFormatting sqref="E41">
    <cfRule type="expression" dxfId="1107" priority="50">
      <formula>IF(E41="",0,IF(OR(LEFT(E41,LEN(E41)-1)=LEFT(E40,LEN(E40)-1),LEFT(E41,LEN(E41)-1)=LEFT(E39,LEN(E39)-1),LEFT(E41,LEN(E41)-1)=LEFT(E38,LEN(E38)-1),LEFT(E41,1)=LEFT(E40,1)),1,0))</formula>
    </cfRule>
  </conditionalFormatting>
  <conditionalFormatting sqref="E40">
    <cfRule type="expression" dxfId="1106" priority="51">
      <formula>IF(E40="",0,IF(OR(LEFT(E40,LEN(E40)-1)=LEFT(E39,LEN(E39)-1),LEFT(E40,LEN(E40)-1)=LEFT(E38,LEN(E38)-1)),1,0))</formula>
    </cfRule>
  </conditionalFormatting>
  <conditionalFormatting sqref="G43">
    <cfRule type="expression" dxfId="1105" priority="52">
      <formula>IF(SUM(G42:G43)&gt;3.7,1,0)</formula>
    </cfRule>
  </conditionalFormatting>
  <conditionalFormatting sqref="G42">
    <cfRule type="expression" dxfId="1104" priority="53">
      <formula>IF(SUM(G42:G43)&gt;3.7,1,0)</formula>
    </cfRule>
  </conditionalFormatting>
  <conditionalFormatting sqref="E43">
    <cfRule type="expression" dxfId="1103" priority="54">
      <formula>IF(E43="",0,IF(LEFT(E43,1)=LEFT(E42,1),1,0))</formula>
    </cfRule>
  </conditionalFormatting>
  <conditionalFormatting sqref="E45">
    <cfRule type="expression" dxfId="1102" priority="55">
      <formula>IF(E45="",0,IF(OR(LEFT(E45,LEN(E45)-1)=LEFT(E44,LEN(E44)-1),LEFT(E45,LEN(E45)-1)=LEFT(E43,LEN(E43)-1),LEFT(E45,LEN(E45)-1)=LEFT(E42,LEN(E42)-1),LEFT(E45,1)=LEFT(E44,1)),1,0))</formula>
    </cfRule>
  </conditionalFormatting>
  <conditionalFormatting sqref="E44">
    <cfRule type="expression" dxfId="1101" priority="56">
      <formula>IF(E44="",0,IF(OR(LEFT(E44,LEN(E44)-1)=LEFT(E43,LEN(E43)-1),LEFT(E44,LEN(E44)-1)=LEFT(E42,LEN(E42)-1)),1,0))</formula>
    </cfRule>
  </conditionalFormatting>
  <conditionalFormatting sqref="G47">
    <cfRule type="expression" dxfId="1100" priority="57">
      <formula>IF(SUM(G46:G47)&gt;3.7,1,0)</formula>
    </cfRule>
  </conditionalFormatting>
  <conditionalFormatting sqref="G46">
    <cfRule type="expression" dxfId="1099" priority="58">
      <formula>IF(SUM(G46:G47)&gt;3.7,1,0)</formula>
    </cfRule>
  </conditionalFormatting>
  <conditionalFormatting sqref="E47">
    <cfRule type="expression" dxfId="1098" priority="59">
      <formula>IF(E47="",0,IF(LEFT(E47,1)=LEFT(E46,1),1,0))</formula>
    </cfRule>
  </conditionalFormatting>
  <conditionalFormatting sqref="E49">
    <cfRule type="expression" dxfId="1097" priority="60">
      <formula>IF(E49="",0,IF(OR(LEFT(E49,LEN(E49)-1)=LEFT(E48,LEN(E48)-1),LEFT(E49,LEN(E49)-1)=LEFT(E47,LEN(E47)-1),LEFT(E49,LEN(E49)-1)=LEFT(E46,LEN(E46)-1),LEFT(E49,1)=LEFT(E48,1)),1,0))</formula>
    </cfRule>
  </conditionalFormatting>
  <conditionalFormatting sqref="E48">
    <cfRule type="expression" dxfId="1096" priority="61">
      <formula>IF(E48="",0,IF(OR(LEFT(E48,LEN(E48)-1)=LEFT(E47,LEN(E47)-1),LEFT(E48,LEN(E48)-1)=LEFT(E46,LEN(E46)-1)),1,0))</formula>
    </cfRule>
  </conditionalFormatting>
  <conditionalFormatting sqref="G51">
    <cfRule type="expression" dxfId="1095" priority="62">
      <formula>IF(SUM(G50:G51)&gt;3.7,1,0)</formula>
    </cfRule>
  </conditionalFormatting>
  <conditionalFormatting sqref="G50">
    <cfRule type="expression" dxfId="1094" priority="63">
      <formula>IF(SUM(G50:G51)&gt;3.7,1,0)</formula>
    </cfRule>
  </conditionalFormatting>
  <conditionalFormatting sqref="E51">
    <cfRule type="expression" dxfId="1093" priority="64">
      <formula>IF(E51="",0,IF(LEFT(E51,1)=LEFT(E50,1),1,0))</formula>
    </cfRule>
  </conditionalFormatting>
  <conditionalFormatting sqref="E53">
    <cfRule type="expression" dxfId="1092" priority="65">
      <formula>IF(E53="",0,IF(OR(LEFT(E53,LEN(E53)-1)=LEFT(E52,LEN(E52)-1),LEFT(E53,LEN(E53)-1)=LEFT(E51,LEN(E51)-1),LEFT(E53,LEN(E53)-1)=LEFT(E50,LEN(E50)-1),LEFT(E53,1)=LEFT(E52,1)),1,0))</formula>
    </cfRule>
  </conditionalFormatting>
  <conditionalFormatting sqref="E52">
    <cfRule type="expression" dxfId="1091" priority="66">
      <formula>IF(E52="",0,IF(OR(LEFT(E52,LEN(E52)-1)=LEFT(E51,LEN(E51)-1),LEFT(E52,LEN(E52)-1)=LEFT(E50,LEN(E50)-1)),1,0))</formula>
    </cfRule>
  </conditionalFormatting>
  <conditionalFormatting sqref="G55">
    <cfRule type="expression" dxfId="1090" priority="67">
      <formula>IF(SUM(G54:G55)&gt;3.7,1,0)</formula>
    </cfRule>
  </conditionalFormatting>
  <conditionalFormatting sqref="G54">
    <cfRule type="expression" dxfId="1089" priority="68">
      <formula>IF(SUM(G54:G55)&gt;3.7,1,0)</formula>
    </cfRule>
  </conditionalFormatting>
  <conditionalFormatting sqref="E55">
    <cfRule type="expression" dxfId="1088" priority="69">
      <formula>IF(E55="",0,IF(LEFT(E55,1)=LEFT(E54,1),1,0))</formula>
    </cfRule>
  </conditionalFormatting>
  <conditionalFormatting sqref="E57">
    <cfRule type="expression" dxfId="1087" priority="70">
      <formula>IF(E57="",0,IF(OR(LEFT(E57,LEN(E57)-1)=LEFT(E56,LEN(E56)-1),LEFT(E57,LEN(E57)-1)=LEFT(E55,LEN(E55)-1),LEFT(E57,LEN(E57)-1)=LEFT(E54,LEN(E54)-1),LEFT(E57,1)=LEFT(E56,1)),1,0))</formula>
    </cfRule>
  </conditionalFormatting>
  <conditionalFormatting sqref="E56">
    <cfRule type="expression" dxfId="1086" priority="71">
      <formula>IF(E56="",0,IF(OR(LEFT(E56,LEN(E56)-1)=LEFT(E55,LEN(E55)-1),LEFT(E56,LEN(E56)-1)=LEFT(E54,LEN(E54)-1)),1,0))</formula>
    </cfRule>
  </conditionalFormatting>
  <conditionalFormatting sqref="G59">
    <cfRule type="expression" dxfId="1085" priority="72">
      <formula>IF(SUM(G58:G59)&gt;3.7,1,0)</formula>
    </cfRule>
  </conditionalFormatting>
  <conditionalFormatting sqref="G58">
    <cfRule type="expression" dxfId="1084" priority="73">
      <formula>IF(SUM(G58:G59)&gt;3.7,1,0)</formula>
    </cfRule>
  </conditionalFormatting>
  <conditionalFormatting sqref="E59">
    <cfRule type="expression" dxfId="1083" priority="74">
      <formula>IF(E59="",0,IF(LEFT(E59,1)=LEFT(E58,1),1,0))</formula>
    </cfRule>
  </conditionalFormatting>
  <conditionalFormatting sqref="E61">
    <cfRule type="expression" dxfId="1082" priority="75">
      <formula>IF(E61="",0,IF(OR(LEFT(E61,LEN(E61)-1)=LEFT(E60,LEN(E60)-1),LEFT(E61,LEN(E61)-1)=LEFT(E59,LEN(E59)-1),LEFT(E61,LEN(E61)-1)=LEFT(E58,LEN(E58)-1),LEFT(E61,1)=LEFT(E60,1)),1,0))</formula>
    </cfRule>
  </conditionalFormatting>
  <conditionalFormatting sqref="E60">
    <cfRule type="expression" dxfId="1081" priority="76">
      <formula>IF(E60="",0,IF(OR(LEFT(E60,LEN(E60)-1)=LEFT(E59,LEN(E59)-1),LEFT(E60,LEN(E60)-1)=LEFT(E58,LEN(E58)-1)),1,0))</formula>
    </cfRule>
  </conditionalFormatting>
  <conditionalFormatting sqref="G63">
    <cfRule type="expression" dxfId="1080" priority="77">
      <formula>IF(SUM(G62:G63)&gt;3.7,1,0)</formula>
    </cfRule>
  </conditionalFormatting>
  <conditionalFormatting sqref="G62">
    <cfRule type="expression" dxfId="1079" priority="78">
      <formula>IF(SUM(G62:G63)&gt;3.7,1,0)</formula>
    </cfRule>
  </conditionalFormatting>
  <conditionalFormatting sqref="E63">
    <cfRule type="expression" dxfId="1078" priority="79">
      <formula>IF(E63="",0,IF(LEFT(E63,1)=LEFT(E62,1),1,0))</formula>
    </cfRule>
  </conditionalFormatting>
  <conditionalFormatting sqref="E65">
    <cfRule type="expression" dxfId="1077" priority="80">
      <formula>IF(E65="",0,IF(OR(LEFT(E65,LEN(E65)-1)=LEFT(E64,LEN(E64)-1),LEFT(E65,LEN(E65)-1)=LEFT(E63,LEN(E63)-1),LEFT(E65,LEN(E65)-1)=LEFT(E62,LEN(E62)-1),LEFT(E65,1)=LEFT(E64,1)),1,0))</formula>
    </cfRule>
  </conditionalFormatting>
  <conditionalFormatting sqref="E64">
    <cfRule type="expression" dxfId="1076" priority="81">
      <formula>IF(E64="",0,IF(OR(LEFT(E64,LEN(E64)-1)=LEFT(E63,LEN(E63)-1),LEFT(E64,LEN(E64)-1)=LEFT(E62,LEN(E62)-1)),1,0))</formula>
    </cfRule>
  </conditionalFormatting>
  <conditionalFormatting sqref="G67">
    <cfRule type="expression" dxfId="1075" priority="82">
      <formula>IF(SUM(G66:G67)&gt;3.7,1,0)</formula>
    </cfRule>
  </conditionalFormatting>
  <conditionalFormatting sqref="G66">
    <cfRule type="expression" dxfId="1074" priority="83">
      <formula>IF(SUM(G66:G67)&gt;3.7,1,0)</formula>
    </cfRule>
  </conditionalFormatting>
  <conditionalFormatting sqref="E67">
    <cfRule type="expression" dxfId="1073" priority="84">
      <formula>IF(E67="",0,IF(LEFT(E67,1)=LEFT(E66,1),1,0))</formula>
    </cfRule>
  </conditionalFormatting>
  <conditionalFormatting sqref="E69">
    <cfRule type="expression" dxfId="1072" priority="85">
      <formula>IF(E69="",0,IF(OR(LEFT(E69,LEN(E69)-1)=LEFT(E68,LEN(E68)-1),LEFT(E69,LEN(E69)-1)=LEFT(E67,LEN(E67)-1),LEFT(E69,LEN(E69)-1)=LEFT(E66,LEN(E66)-1),LEFT(E69,1)=LEFT(E68,1)),1,0))</formula>
    </cfRule>
  </conditionalFormatting>
  <conditionalFormatting sqref="E68">
    <cfRule type="expression" dxfId="1071" priority="86">
      <formula>IF(E68="",0,IF(OR(LEFT(E68,LEN(E68)-1)=LEFT(E67,LEN(E67)-1),LEFT(E68,LEN(E68)-1)=LEFT(E66,LEN(E66)-1)),1,0))</formula>
    </cfRule>
  </conditionalFormatting>
  <conditionalFormatting sqref="G71">
    <cfRule type="expression" dxfId="1070" priority="87">
      <formula>IF(SUM(G70:G71)&gt;3.7,1,0)</formula>
    </cfRule>
  </conditionalFormatting>
  <conditionalFormatting sqref="G70">
    <cfRule type="expression" dxfId="1069" priority="88">
      <formula>IF(SUM(G70:G71)&gt;3.7,1,0)</formula>
    </cfRule>
  </conditionalFormatting>
  <conditionalFormatting sqref="E71">
    <cfRule type="expression" dxfId="1068" priority="89">
      <formula>IF(E71="",0,IF(LEFT(E71,1)=LEFT(E70,1),1,0))</formula>
    </cfRule>
  </conditionalFormatting>
  <conditionalFormatting sqref="E73">
    <cfRule type="expression" dxfId="1067" priority="90">
      <formula>IF(E73="",0,IF(OR(LEFT(E73,LEN(E73)-1)=LEFT(E72,LEN(E72)-1),LEFT(E73,LEN(E73)-1)=LEFT(E71,LEN(E71)-1),LEFT(E73,LEN(E73)-1)=LEFT(E70,LEN(E70)-1),LEFT(E73,1)=LEFT(E72,1)),1,0))</formula>
    </cfRule>
  </conditionalFormatting>
  <conditionalFormatting sqref="E72">
    <cfRule type="expression" dxfId="1066" priority="91">
      <formula>IF(E72="",0,IF(OR(LEFT(E72,LEN(E72)-1)=LEFT(E71,LEN(E71)-1),LEFT(E72,LEN(E72)-1)=LEFT(E70,LEN(E70)-1)),1,0))</formula>
    </cfRule>
  </conditionalFormatting>
  <conditionalFormatting sqref="G75">
    <cfRule type="expression" dxfId="1065" priority="92">
      <formula>IF(SUM(G74:G75)&gt;3.7,1,0)</formula>
    </cfRule>
  </conditionalFormatting>
  <conditionalFormatting sqref="G74">
    <cfRule type="expression" dxfId="1064" priority="93">
      <formula>IF(SUM(G74:G75)&gt;3.7,1,0)</formula>
    </cfRule>
  </conditionalFormatting>
  <conditionalFormatting sqref="E75">
    <cfRule type="expression" dxfId="1063" priority="94">
      <formula>IF(E75="",0,IF(LEFT(E75,1)=LEFT(E74,1),1,0))</formula>
    </cfRule>
  </conditionalFormatting>
  <conditionalFormatting sqref="E77">
    <cfRule type="expression" dxfId="1062" priority="95">
      <formula>IF(E77="",0,IF(OR(LEFT(E77,LEN(E77)-1)=LEFT(E76,LEN(E76)-1),LEFT(E77,LEN(E77)-1)=LEFT(E75,LEN(E75)-1),LEFT(E77,LEN(E77)-1)=LEFT(E74,LEN(E74)-1),LEFT(E77,1)=LEFT(E76,1)),1,0))</formula>
    </cfRule>
  </conditionalFormatting>
  <conditionalFormatting sqref="E76">
    <cfRule type="expression" dxfId="1061" priority="96">
      <formula>IF(E76="",0,IF(OR(LEFT(E76,LEN(E76)-1)=LEFT(E75,LEN(E75)-1),LEFT(E76,LEN(E76)-1)=LEFT(E74,LEN(E74)-1)),1,0))</formula>
    </cfRule>
  </conditionalFormatting>
  <conditionalFormatting sqref="G79">
    <cfRule type="expression" dxfId="1060" priority="97">
      <formula>IF(SUM(G78:G79)&gt;3.7,1,0)</formula>
    </cfRule>
  </conditionalFormatting>
  <conditionalFormatting sqref="G78">
    <cfRule type="expression" dxfId="1059" priority="98">
      <formula>IF(SUM(G78:G79)&gt;3.7,1,0)</formula>
    </cfRule>
  </conditionalFormatting>
  <conditionalFormatting sqref="E79">
    <cfRule type="expression" dxfId="1058" priority="99">
      <formula>IF(E79="",0,IF(LEFT(E79,1)=LEFT(E78,1),1,0))</formula>
    </cfRule>
  </conditionalFormatting>
  <conditionalFormatting sqref="E81">
    <cfRule type="expression" dxfId="1057" priority="100">
      <formula>IF(E81="",0,IF(OR(LEFT(E81,LEN(E81)-1)=LEFT(E80,LEN(E80)-1),LEFT(E81,LEN(E81)-1)=LEFT(E79,LEN(E79)-1),LEFT(E81,LEN(E81)-1)=LEFT(E78,LEN(E78)-1),LEFT(E81,1)=LEFT(E80,1)),1,0))</formula>
    </cfRule>
  </conditionalFormatting>
  <conditionalFormatting sqref="E80">
    <cfRule type="expression" dxfId="1056" priority="101">
      <formula>IF(E80="",0,IF(OR(LEFT(E80,LEN(E80)-1)=LEFT(E79,LEN(E79)-1),LEFT(E80,LEN(E80)-1)=LEFT(E78,LEN(E78)-1)),1,0))</formula>
    </cfRule>
  </conditionalFormatting>
  <conditionalFormatting sqref="G83">
    <cfRule type="expression" dxfId="1055" priority="102">
      <formula>IF(SUM(G82:G83)&gt;3.7,1,0)</formula>
    </cfRule>
  </conditionalFormatting>
  <conditionalFormatting sqref="G82">
    <cfRule type="expression" dxfId="1054" priority="103">
      <formula>IF(SUM(G82:G83)&gt;3.7,1,0)</formula>
    </cfRule>
  </conditionalFormatting>
  <conditionalFormatting sqref="E83">
    <cfRule type="expression" dxfId="1053" priority="104">
      <formula>IF(E83="",0,IF(LEFT(E83,1)=LEFT(E82,1),1,0))</formula>
    </cfRule>
  </conditionalFormatting>
  <conditionalFormatting sqref="E85">
    <cfRule type="expression" dxfId="1052" priority="105">
      <formula>IF(E85="",0,IF(OR(LEFT(E85,LEN(E85)-1)=LEFT(E84,LEN(E84)-1),LEFT(E85,LEN(E85)-1)=LEFT(E83,LEN(E83)-1),LEFT(E85,LEN(E85)-1)=LEFT(E82,LEN(E82)-1),LEFT(E85,1)=LEFT(E84,1)),1,0))</formula>
    </cfRule>
  </conditionalFormatting>
  <conditionalFormatting sqref="E84">
    <cfRule type="expression" dxfId="1051" priority="106">
      <formula>IF(E84="",0,IF(OR(LEFT(E84,LEN(E84)-1)=LEFT(E83,LEN(E83)-1),LEFT(E84,LEN(E84)-1)=LEFT(E82,LEN(E82)-1)),1,0))</formula>
    </cfRule>
  </conditionalFormatting>
  <conditionalFormatting sqref="G87">
    <cfRule type="expression" dxfId="1050" priority="107">
      <formula>IF(SUM(G86:G87)&gt;3.7,1,0)</formula>
    </cfRule>
  </conditionalFormatting>
  <conditionalFormatting sqref="G86">
    <cfRule type="expression" dxfId="1049" priority="108">
      <formula>IF(SUM(G86:G87)&gt;3.7,1,0)</formula>
    </cfRule>
  </conditionalFormatting>
  <conditionalFormatting sqref="E87">
    <cfRule type="expression" dxfId="1048" priority="109">
      <formula>IF(E87="",0,IF(LEFT(E87,1)=LEFT(E86,1),1,0))</formula>
    </cfRule>
  </conditionalFormatting>
  <conditionalFormatting sqref="E89">
    <cfRule type="expression" dxfId="1047" priority="110">
      <formula>IF(E89="",0,IF(OR(LEFT(E89,LEN(E89)-1)=LEFT(E88,LEN(E88)-1),LEFT(E89,LEN(E89)-1)=LEFT(E87,LEN(E87)-1),LEFT(E89,LEN(E89)-1)=LEFT(E86,LEN(E86)-1),LEFT(E89,1)=LEFT(E88,1)),1,0))</formula>
    </cfRule>
  </conditionalFormatting>
  <conditionalFormatting sqref="E88">
    <cfRule type="expression" dxfId="1046" priority="111">
      <formula>IF(E88="",0,IF(OR(LEFT(E88,LEN(E88)-1)=LEFT(E87,LEN(E87)-1),LEFT(E88,LEN(E88)-1)=LEFT(E86,LEN(E86)-1)),1,0))</formula>
    </cfRule>
  </conditionalFormatting>
  <conditionalFormatting sqref="G91">
    <cfRule type="expression" dxfId="1045" priority="112">
      <formula>IF(SUM(G90:G91)&gt;3.7,1,0)</formula>
    </cfRule>
  </conditionalFormatting>
  <conditionalFormatting sqref="G90">
    <cfRule type="expression" dxfId="1044" priority="113">
      <formula>IF(SUM(G90:G91)&gt;3.7,1,0)</formula>
    </cfRule>
  </conditionalFormatting>
  <conditionalFormatting sqref="E91">
    <cfRule type="expression" dxfId="1043" priority="114">
      <formula>IF(E91="",0,IF(LEFT(E91,1)=LEFT(E90,1),1,0))</formula>
    </cfRule>
  </conditionalFormatting>
  <conditionalFormatting sqref="E93">
    <cfRule type="expression" dxfId="1042" priority="115">
      <formula>IF(E93="",0,IF(OR(LEFT(E93,LEN(E93)-1)=LEFT(E92,LEN(E92)-1),LEFT(E93,LEN(E93)-1)=LEFT(E91,LEN(E91)-1),LEFT(E93,LEN(E93)-1)=LEFT(E90,LEN(E90)-1),LEFT(E93,1)=LEFT(E92,1)),1,0))</formula>
    </cfRule>
  </conditionalFormatting>
  <conditionalFormatting sqref="E92">
    <cfRule type="expression" dxfId="1041" priority="116">
      <formula>IF(E92="",0,IF(OR(LEFT(E92,LEN(E92)-1)=LEFT(E91,LEN(E91)-1),LEFT(E92,LEN(E92)-1)=LEFT(E90,LEN(E90)-1)),1,0))</formula>
    </cfRule>
  </conditionalFormatting>
  <conditionalFormatting sqref="G95">
    <cfRule type="expression" dxfId="1040" priority="117">
      <formula>IF(SUM(G94:G95)&gt;3.7,1,0)</formula>
    </cfRule>
  </conditionalFormatting>
  <conditionalFormatting sqref="G94">
    <cfRule type="expression" dxfId="1039" priority="118">
      <formula>IF(SUM(G94:G95)&gt;3.7,1,0)</formula>
    </cfRule>
  </conditionalFormatting>
  <conditionalFormatting sqref="E95">
    <cfRule type="expression" dxfId="1038" priority="119">
      <formula>IF(E95="",0,IF(LEFT(E95,1)=LEFT(E94,1),1,0))</formula>
    </cfRule>
  </conditionalFormatting>
  <conditionalFormatting sqref="E97">
    <cfRule type="expression" dxfId="1037" priority="120">
      <formula>IF(E97="",0,IF(OR(LEFT(E97,LEN(E97)-1)=LEFT(E96,LEN(E96)-1),LEFT(E97,LEN(E97)-1)=LEFT(E95,LEN(E95)-1),LEFT(E97,LEN(E97)-1)=LEFT(E94,LEN(E94)-1),LEFT(E97,1)=LEFT(E96,1)),1,0))</formula>
    </cfRule>
  </conditionalFormatting>
  <conditionalFormatting sqref="E96">
    <cfRule type="expression" dxfId="1036" priority="121">
      <formula>IF(E96="",0,IF(OR(LEFT(E96,LEN(E96)-1)=LEFT(E95,LEN(E95)-1),LEFT(E96,LEN(E96)-1)=LEFT(E94,LEN(E94)-1)),1,0))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C2:C97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H2:L97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4"/>
  <sheetViews>
    <sheetView zoomScaleNormal="100" workbookViewId="0">
      <pane ySplit="1" topLeftCell="A95" activePane="bottomLeft" state="frozen"/>
      <selection activeCell="D1" sqref="D1"/>
      <selection pane="bottomLeft" activeCell="E69" sqref="E69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7.8554687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4.140625" style="45" hidden="1" customWidth="1"/>
    <col min="20" max="20" width="9.14062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x14ac:dyDescent="0.25">
      <c r="A2" s="97">
        <v>1</v>
      </c>
      <c r="B2" s="109"/>
      <c r="C2" s="111"/>
      <c r="D2" s="46">
        <v>1</v>
      </c>
      <c r="E2" s="113"/>
      <c r="F2" s="45" t="str">
        <f>IF($E2="","",IF(ISNA(VLOOKUP($E2,DD!$A$2:$C$150,2,0)),"NO SUCH DIVE",VLOOKUP($E2,DD!$A$2:$C$150,2,0)))</f>
        <v/>
      </c>
      <c r="G2" s="51" t="str">
        <f>IF($E2="","",IF(ISNA(VLOOKUP($E2,DD!$A$2:$C$150,3,0)),"",VLOOKUP($E2,DD!$A$2:$C$150,3,0)))</f>
        <v/>
      </c>
      <c r="H2" s="115"/>
      <c r="I2" s="115"/>
      <c r="J2" s="115"/>
      <c r="K2" s="115"/>
      <c r="L2" s="115"/>
      <c r="M2" s="50"/>
      <c r="N2" s="45" t="str">
        <f t="shared" ref="N2:N33" si="0">IF(G2="","",IF(COUNT(H2:L2)=3,IF(M2&lt;&gt;"",(SUM(H2:J2)-6)*G2,SUM(H2:J2)*G2),IF(M2&lt;&gt;"",(SUM(H2:L2)-MAX(H2:L2)-MIN(H2:L2)-6)*G2,(SUM(H2:L2)-MAX(H2:L2)-MIN(H2:L2))*G2)))</f>
        <v/>
      </c>
      <c r="O2" s="45" t="str">
        <f>IF(N2="","",N2)</f>
        <v/>
      </c>
      <c r="R2" s="53">
        <f>O5+0.000001</f>
        <v>9.9999999999999995E-7</v>
      </c>
      <c r="S2" s="53">
        <f>B2</f>
        <v>0</v>
      </c>
      <c r="T2" s="53">
        <f>C2</f>
        <v>0</v>
      </c>
    </row>
    <row r="3" spans="1:20" x14ac:dyDescent="0.25">
      <c r="A3" s="97"/>
      <c r="B3" s="109"/>
      <c r="C3" s="111"/>
      <c r="D3" s="46">
        <v>2</v>
      </c>
      <c r="E3" s="113"/>
      <c r="F3" s="45" t="str">
        <f>IF($E3="","",IF(ISNA(VLOOKUP($E3,DD!$A$2:$C$150,2,0)),"NO SUCH DIVE",VLOOKUP($E3,DD!$A$2:$C$150,2,0)))</f>
        <v/>
      </c>
      <c r="G3" s="51" t="str">
        <f>IF($E3="","",IF(ISNA(VLOOKUP($E3,DD!$A$2:$C$150,3,0)),"",VLOOKUP($E3,DD!$A$2:$C$150,3,0)))</f>
        <v/>
      </c>
      <c r="H3" s="115"/>
      <c r="I3" s="115"/>
      <c r="J3" s="115"/>
      <c r="K3" s="115"/>
      <c r="L3" s="115"/>
      <c r="M3" s="50"/>
      <c r="N3" s="45" t="str">
        <f t="shared" si="0"/>
        <v/>
      </c>
      <c r="O3" s="45" t="str">
        <f>IF(N3="","",N3+O2)</f>
        <v/>
      </c>
      <c r="R3" s="53">
        <f>O9+0.000002</f>
        <v>89.350001999999989</v>
      </c>
      <c r="S3" s="53" t="str">
        <f>B6</f>
        <v>James Wood</v>
      </c>
      <c r="T3" s="53" t="str">
        <f>C6</f>
        <v>Cedar</v>
      </c>
    </row>
    <row r="4" spans="1:20" x14ac:dyDescent="0.25">
      <c r="A4" s="97"/>
      <c r="B4" s="109"/>
      <c r="C4" s="111"/>
      <c r="D4" s="46">
        <v>3</v>
      </c>
      <c r="E4" s="113"/>
      <c r="F4" s="45" t="str">
        <f>IF($E4="","",IF(ISNA(VLOOKUP($E4,DD!$A$2:$C$150,2,0)),"NO SUCH DIVE",VLOOKUP($E4,DD!$A$2:$C$150,2,0)))</f>
        <v/>
      </c>
      <c r="G4" s="46" t="str">
        <f>IF($E4="","",IF(ISNA(VLOOKUP($E4,DD!$A$2:$C$150,3,0)),"",VLOOKUP($E4,DD!$A$2:$C$150,3,0)))</f>
        <v/>
      </c>
      <c r="H4" s="115"/>
      <c r="I4" s="115"/>
      <c r="J4" s="115"/>
      <c r="K4" s="115"/>
      <c r="L4" s="115"/>
      <c r="M4" s="50"/>
      <c r="N4" s="45" t="str">
        <f t="shared" si="0"/>
        <v/>
      </c>
      <c r="O4" s="45" t="str">
        <f>IF(N4="","",N4+O3)</f>
        <v/>
      </c>
      <c r="R4" s="53">
        <f>O13+0.000003</f>
        <v>86.000003000000007</v>
      </c>
      <c r="S4" s="53" t="str">
        <f>B10</f>
        <v>Brayden Dunwoodie</v>
      </c>
      <c r="T4" s="53" t="str">
        <f>C10</f>
        <v>VIK</v>
      </c>
    </row>
    <row r="5" spans="1:20" x14ac:dyDescent="0.25">
      <c r="A5" s="97"/>
      <c r="B5" s="109"/>
      <c r="C5" s="111"/>
      <c r="D5" s="46">
        <v>4</v>
      </c>
      <c r="E5" s="113"/>
      <c r="F5" s="45" t="str">
        <f>IF($E5="","",IF(ISNA(VLOOKUP($E5,DD!$A$2:$C$150,2,0)),"NO SUCH DIVE",VLOOKUP($E5,DD!$A$2:$C$150,2,0)))</f>
        <v/>
      </c>
      <c r="G5" s="46" t="str">
        <f>IF($E5="","",IF(ISNA(VLOOKUP($E5,DD!$A$2:$C$150,3,0)),"",VLOOKUP($E5,DD!$A$2:$C$150,3,0)))</f>
        <v/>
      </c>
      <c r="H5" s="115"/>
      <c r="I5" s="115"/>
      <c r="J5" s="115"/>
      <c r="K5" s="115"/>
      <c r="L5" s="115"/>
      <c r="M5" s="50"/>
      <c r="N5" s="45" t="str">
        <f t="shared" si="0"/>
        <v/>
      </c>
      <c r="O5" s="54">
        <f>IF(N5="",0,N5+O4)</f>
        <v>0</v>
      </c>
      <c r="R5" s="53">
        <f>O17+0.000004</f>
        <v>59.00000399999999</v>
      </c>
      <c r="S5" s="53" t="str">
        <f>B14</f>
        <v>Ayden Jacobs</v>
      </c>
      <c r="T5" s="53" t="str">
        <f>C14</f>
        <v>WLRC</v>
      </c>
    </row>
    <row r="6" spans="1:20" x14ac:dyDescent="0.25">
      <c r="A6" s="103">
        <v>2</v>
      </c>
      <c r="B6" s="110" t="s">
        <v>412</v>
      </c>
      <c r="C6" s="112" t="s">
        <v>57</v>
      </c>
      <c r="D6" s="80">
        <v>1</v>
      </c>
      <c r="E6" s="114" t="s">
        <v>89</v>
      </c>
      <c r="F6" s="82" t="str">
        <f>IF($E6="","",IF(ISNA(VLOOKUP($E6,DD!$A$2:$C$150,2,0)),"NO SUCH DIVE",VLOOKUP($E6,DD!$A$2:$C$150,2,0)))</f>
        <v>Front dive tuck</v>
      </c>
      <c r="G6" s="83">
        <f>IF($E6="","",IF(ISNA(VLOOKUP($E6,DD!$A$2:$C$150,3,0)),"",VLOOKUP($E6,DD!$A$2:$C$150,3,0)))</f>
        <v>1.3</v>
      </c>
      <c r="H6" s="116">
        <v>5.5</v>
      </c>
      <c r="I6" s="116">
        <v>5</v>
      </c>
      <c r="J6" s="116">
        <v>5.5</v>
      </c>
      <c r="K6" s="116">
        <v>5.5</v>
      </c>
      <c r="L6" s="116">
        <v>6</v>
      </c>
      <c r="M6" s="81"/>
      <c r="N6" s="82">
        <f t="shared" si="0"/>
        <v>21.45</v>
      </c>
      <c r="O6" s="82">
        <f>IF(N6="","",N6)</f>
        <v>21.45</v>
      </c>
      <c r="R6" s="53">
        <f>O21+0.000005</f>
        <v>65.850004999999996</v>
      </c>
      <c r="S6" s="53" t="str">
        <f>B18</f>
        <v>Jayson Ip</v>
      </c>
      <c r="T6" s="53" t="str">
        <f>C18</f>
        <v>HCP</v>
      </c>
    </row>
    <row r="7" spans="1:20" x14ac:dyDescent="0.25">
      <c r="A7" s="103"/>
      <c r="B7" s="110"/>
      <c r="C7" s="112"/>
      <c r="D7" s="80">
        <v>2</v>
      </c>
      <c r="E7" s="114" t="s">
        <v>64</v>
      </c>
      <c r="F7" s="82" t="str">
        <f>IF($E7="","",IF(ISNA(VLOOKUP($E7,DD!$A$2:$C$150,2,0)),"NO SUCH DIVE",VLOOKUP($E7,DD!$A$2:$C$150,2,0)))</f>
        <v>Back dive ½ twist layout</v>
      </c>
      <c r="G7" s="83">
        <f>IF($E7="","",IF(ISNA(VLOOKUP($E7,DD!$A$2:$C$150,3,0)),"",VLOOKUP($E7,DD!$A$2:$C$150,3,0)))</f>
        <v>1.4</v>
      </c>
      <c r="H7" s="116">
        <v>5</v>
      </c>
      <c r="I7" s="116">
        <v>6</v>
      </c>
      <c r="J7" s="116">
        <v>4.5</v>
      </c>
      <c r="K7" s="116">
        <v>5</v>
      </c>
      <c r="L7" s="116">
        <v>4.5</v>
      </c>
      <c r="M7" s="81"/>
      <c r="N7" s="82">
        <f t="shared" si="0"/>
        <v>20.299999999999997</v>
      </c>
      <c r="O7" s="82">
        <f>IF(N7="","",N7+O6)</f>
        <v>41.75</v>
      </c>
      <c r="R7" s="53">
        <f>O25+0.000006</f>
        <v>6.0000000000000002E-6</v>
      </c>
      <c r="S7" s="53">
        <f>B22</f>
        <v>0</v>
      </c>
      <c r="T7" s="53">
        <f>C22</f>
        <v>0</v>
      </c>
    </row>
    <row r="8" spans="1:20" x14ac:dyDescent="0.25">
      <c r="A8" s="103"/>
      <c r="B8" s="110"/>
      <c r="C8" s="112"/>
      <c r="D8" s="80">
        <v>3</v>
      </c>
      <c r="E8" s="114" t="s">
        <v>58</v>
      </c>
      <c r="F8" s="82" t="str">
        <f>IF($E8="","",IF(ISNA(VLOOKUP($E8,DD!$A$2:$C$150,2,0)),"NO SUCH DIVE",VLOOKUP($E8,DD!$A$2:$C$150,2,0)))</f>
        <v>Back dive layout</v>
      </c>
      <c r="G8" s="80">
        <f>IF($E8="","",IF(ISNA(VLOOKUP($E8,DD!$A$2:$C$150,3,0)),"",VLOOKUP($E8,DD!$A$2:$C$150,3,0)))</f>
        <v>1.4</v>
      </c>
      <c r="H8" s="116">
        <v>5</v>
      </c>
      <c r="I8" s="116">
        <v>4.5</v>
      </c>
      <c r="J8" s="116">
        <v>5</v>
      </c>
      <c r="K8" s="116">
        <v>5.5</v>
      </c>
      <c r="L8" s="116">
        <v>5</v>
      </c>
      <c r="M8" s="81"/>
      <c r="N8" s="82">
        <f t="shared" si="0"/>
        <v>21</v>
      </c>
      <c r="O8" s="82">
        <f>IF(N8="","",N8+O7)</f>
        <v>62.75</v>
      </c>
      <c r="R8" s="53">
        <f>O29+0.000007</f>
        <v>117.400007</v>
      </c>
      <c r="S8" s="53" t="str">
        <f>B26</f>
        <v>Elijah Palov</v>
      </c>
      <c r="T8" s="53" t="str">
        <f>C26</f>
        <v>Side</v>
      </c>
    </row>
    <row r="9" spans="1:20" x14ac:dyDescent="0.25">
      <c r="A9" s="103"/>
      <c r="B9" s="110"/>
      <c r="C9" s="112"/>
      <c r="D9" s="80">
        <v>4</v>
      </c>
      <c r="E9" s="114" t="s">
        <v>72</v>
      </c>
      <c r="F9" s="82" t="str">
        <f>IF($E9="","",IF(ISNA(VLOOKUP($E9,DD!$A$2:$C$150,2,0)),"NO SUCH DIVE",VLOOKUP($E9,DD!$A$2:$C$150,2,0)))</f>
        <v>Front somersault tuck</v>
      </c>
      <c r="G9" s="80">
        <f>IF($E9="","",IF(ISNA(VLOOKUP($E9,DD!$A$2:$C$150,3,0)),"",VLOOKUP($E9,DD!$A$2:$C$150,3,0)))</f>
        <v>1.4</v>
      </c>
      <c r="H9" s="116">
        <v>6.5</v>
      </c>
      <c r="I9" s="116">
        <v>6.5</v>
      </c>
      <c r="J9" s="116">
        <v>6.5</v>
      </c>
      <c r="K9" s="116">
        <v>6</v>
      </c>
      <c r="L9" s="116">
        <v>6</v>
      </c>
      <c r="M9" s="81"/>
      <c r="N9" s="82">
        <f t="shared" si="0"/>
        <v>26.599999999999998</v>
      </c>
      <c r="O9" s="85">
        <f>IF(N9="",0,N9+O8)</f>
        <v>89.35</v>
      </c>
      <c r="R9" s="53">
        <f>O33+0.000008</f>
        <v>68.450007999999997</v>
      </c>
      <c r="S9" s="53" t="str">
        <f>B30</f>
        <v>Vaughn Frederick</v>
      </c>
      <c r="T9" s="53" t="str">
        <f>C30</f>
        <v>Cedar</v>
      </c>
    </row>
    <row r="10" spans="1:20" ht="15" customHeight="1" x14ac:dyDescent="0.25">
      <c r="A10" s="97">
        <v>3</v>
      </c>
      <c r="B10" s="109" t="s">
        <v>413</v>
      </c>
      <c r="C10" s="111" t="s">
        <v>60</v>
      </c>
      <c r="D10" s="46">
        <v>1</v>
      </c>
      <c r="E10" s="113" t="s">
        <v>89</v>
      </c>
      <c r="F10" s="45" t="str">
        <f>IF($E10="","",IF(ISNA(VLOOKUP($E10,DD!$A$2:$C$150,2,0)),"NO SUCH DIVE",VLOOKUP($E10,DD!$A$2:$C$150,2,0)))</f>
        <v>Front dive tuck</v>
      </c>
      <c r="G10" s="51">
        <f>IF($E10="","",IF(ISNA(VLOOKUP($E10,DD!$A$2:$C$150,3,0)),"",VLOOKUP($E10,DD!$A$2:$C$150,3,0)))</f>
        <v>1.3</v>
      </c>
      <c r="H10" s="115">
        <v>5</v>
      </c>
      <c r="I10" s="115">
        <v>5</v>
      </c>
      <c r="J10" s="115">
        <v>5</v>
      </c>
      <c r="K10" s="115">
        <v>5</v>
      </c>
      <c r="L10" s="115">
        <v>5</v>
      </c>
      <c r="M10" s="50"/>
      <c r="N10" s="45">
        <f t="shared" si="0"/>
        <v>19.5</v>
      </c>
      <c r="O10" s="45">
        <f>IF(N10="","",N10)</f>
        <v>19.5</v>
      </c>
      <c r="R10" s="53">
        <f>O37+0.000009</f>
        <v>9.0000000000000002E-6</v>
      </c>
      <c r="S10" s="53">
        <f>B34</f>
        <v>0</v>
      </c>
      <c r="T10" s="53">
        <f>C34</f>
        <v>0</v>
      </c>
    </row>
    <row r="11" spans="1:20" x14ac:dyDescent="0.25">
      <c r="A11" s="97"/>
      <c r="B11" s="109"/>
      <c r="C11" s="111"/>
      <c r="D11" s="46">
        <v>2</v>
      </c>
      <c r="E11" s="113" t="s">
        <v>58</v>
      </c>
      <c r="F11" s="45" t="str">
        <f>IF($E11="","",IF(ISNA(VLOOKUP($E11,DD!$A$2:$C$150,2,0)),"NO SUCH DIVE",VLOOKUP($E11,DD!$A$2:$C$150,2,0)))</f>
        <v>Back dive layout</v>
      </c>
      <c r="G11" s="51">
        <f>IF($E11="","",IF(ISNA(VLOOKUP($E11,DD!$A$2:$C$150,3,0)),"",VLOOKUP($E11,DD!$A$2:$C$150,3,0)))</f>
        <v>1.4</v>
      </c>
      <c r="H11" s="115">
        <v>4</v>
      </c>
      <c r="I11" s="115">
        <v>5</v>
      </c>
      <c r="J11" s="115">
        <v>4</v>
      </c>
      <c r="K11" s="115">
        <v>4</v>
      </c>
      <c r="L11" s="115">
        <v>4</v>
      </c>
      <c r="M11" s="50"/>
      <c r="N11" s="45">
        <f t="shared" si="0"/>
        <v>16.799999999999997</v>
      </c>
      <c r="O11" s="45">
        <f>IF(N11="","",N11+O10)</f>
        <v>36.299999999999997</v>
      </c>
      <c r="R11" s="53">
        <f>O41+0.00001</f>
        <v>74.500010000000003</v>
      </c>
      <c r="S11" s="53" t="str">
        <f>B38</f>
        <v xml:space="preserve">Zachary Johnson </v>
      </c>
      <c r="T11" s="53" t="str">
        <f>C38</f>
        <v>HCP</v>
      </c>
    </row>
    <row r="12" spans="1:20" x14ac:dyDescent="0.25">
      <c r="A12" s="97"/>
      <c r="B12" s="109"/>
      <c r="C12" s="111"/>
      <c r="D12" s="46">
        <v>3</v>
      </c>
      <c r="E12" s="113" t="s">
        <v>96</v>
      </c>
      <c r="F12" s="45" t="str">
        <f>IF($E12="","",IF(ISNA(VLOOKUP($E12,DD!$A$2:$C$150,2,0)),"NO SUCH DIVE",VLOOKUP($E12,DD!$A$2:$C$150,2,0)))</f>
        <v>Inward dive tuck</v>
      </c>
      <c r="G12" s="46">
        <f>IF($E12="","",IF(ISNA(VLOOKUP($E12,DD!$A$2:$C$150,3,0)),"",VLOOKUP($E12,DD!$A$2:$C$150,3,0)))</f>
        <v>1.5</v>
      </c>
      <c r="H12" s="115">
        <v>6.5</v>
      </c>
      <c r="I12" s="115">
        <v>7</v>
      </c>
      <c r="J12" s="115">
        <v>7.5</v>
      </c>
      <c r="K12" s="115">
        <v>7</v>
      </c>
      <c r="L12" s="115">
        <v>7</v>
      </c>
      <c r="M12" s="50"/>
      <c r="N12" s="45">
        <f t="shared" si="0"/>
        <v>31.5</v>
      </c>
      <c r="O12" s="45">
        <f>IF(N12="","",N12+O11)</f>
        <v>67.8</v>
      </c>
      <c r="R12" s="53">
        <f>O45+0.000011</f>
        <v>89.000011000000001</v>
      </c>
      <c r="S12" s="53" t="str">
        <f>B42</f>
        <v>Teagan Brodeur</v>
      </c>
      <c r="T12" s="53" t="str">
        <f>C42</f>
        <v>Val</v>
      </c>
    </row>
    <row r="13" spans="1:20" x14ac:dyDescent="0.25">
      <c r="A13" s="97"/>
      <c r="B13" s="109"/>
      <c r="C13" s="111"/>
      <c r="D13" s="46">
        <v>4</v>
      </c>
      <c r="E13" s="113" t="s">
        <v>72</v>
      </c>
      <c r="F13" s="45" t="str">
        <f>IF($E13="","",IF(ISNA(VLOOKUP($E13,DD!$A$2:$C$150,2,0)),"NO SUCH DIVE",VLOOKUP($E13,DD!$A$2:$C$150,2,0)))</f>
        <v>Front somersault tuck</v>
      </c>
      <c r="G13" s="46">
        <f>IF($E13="","",IF(ISNA(VLOOKUP($E13,DD!$A$2:$C$150,3,0)),"",VLOOKUP($E13,DD!$A$2:$C$150,3,0)))</f>
        <v>1.4</v>
      </c>
      <c r="H13" s="115">
        <v>4.5</v>
      </c>
      <c r="I13" s="115">
        <v>4</v>
      </c>
      <c r="J13" s="115">
        <v>4.5</v>
      </c>
      <c r="K13" s="115">
        <v>4.5</v>
      </c>
      <c r="L13" s="115">
        <v>4</v>
      </c>
      <c r="M13" s="50"/>
      <c r="N13" s="45">
        <f t="shared" si="0"/>
        <v>18.2</v>
      </c>
      <c r="O13" s="54">
        <f>IF(N13="",0,N13+O12)</f>
        <v>86</v>
      </c>
      <c r="R13" s="53">
        <f>O49+0.000012</f>
        <v>136.80001200000001</v>
      </c>
      <c r="S13" s="53" t="str">
        <f>B46</f>
        <v>Wyatt Collins</v>
      </c>
      <c r="T13" s="53" t="str">
        <f>C46</f>
        <v>Side</v>
      </c>
    </row>
    <row r="14" spans="1:20" ht="13.9" customHeight="1" x14ac:dyDescent="0.25">
      <c r="A14" s="103">
        <v>4</v>
      </c>
      <c r="B14" s="110" t="s">
        <v>414</v>
      </c>
      <c r="C14" s="112" t="s">
        <v>88</v>
      </c>
      <c r="D14" s="80">
        <v>1</v>
      </c>
      <c r="E14" s="114" t="s">
        <v>118</v>
      </c>
      <c r="F14" s="82" t="str">
        <f>IF($E14="","",IF(ISNA(VLOOKUP($E14,DD!$A$2:$C$150,2,0)),"NO SUCH DIVE",VLOOKUP($E14,DD!$A$2:$C$150,2,0)))</f>
        <v>Front dive tuck</v>
      </c>
      <c r="G14" s="83">
        <f>IF($E14="","",IF(ISNA(VLOOKUP($E14,DD!$A$2:$C$150,3,0)),"",VLOOKUP($E14,DD!$A$2:$C$150,3,0)))</f>
        <v>1.3</v>
      </c>
      <c r="H14" s="116">
        <v>5.5</v>
      </c>
      <c r="I14" s="116">
        <v>5.5</v>
      </c>
      <c r="J14" s="116">
        <v>5</v>
      </c>
      <c r="K14" s="116">
        <v>5.5</v>
      </c>
      <c r="L14" s="116">
        <v>5</v>
      </c>
      <c r="M14" s="81"/>
      <c r="N14" s="82">
        <f t="shared" si="0"/>
        <v>20.8</v>
      </c>
      <c r="O14" s="82">
        <f>IF(N14="","",N14)</f>
        <v>20.8</v>
      </c>
      <c r="R14" s="53">
        <f>O53+0.000013</f>
        <v>78.650012999999987</v>
      </c>
      <c r="S14" s="53" t="str">
        <f>B50</f>
        <v xml:space="preserve">Carter James </v>
      </c>
      <c r="T14" s="53" t="str">
        <f>C50</f>
        <v>Cedar</v>
      </c>
    </row>
    <row r="15" spans="1:20" x14ac:dyDescent="0.25">
      <c r="A15" s="103"/>
      <c r="B15" s="110"/>
      <c r="C15" s="112"/>
      <c r="D15" s="80">
        <v>2</v>
      </c>
      <c r="E15" s="114" t="s">
        <v>120</v>
      </c>
      <c r="F15" s="82" t="str">
        <f>IF($E15="","",IF(ISNA(VLOOKUP($E15,DD!$A$2:$C$150,2,0)),"NO SUCH DIVE",VLOOKUP($E15,DD!$A$2:$C$150,2,0)))</f>
        <v>Back dive ½ twist layout</v>
      </c>
      <c r="G15" s="83">
        <f>IF($E15="","",IF(ISNA(VLOOKUP($E15,DD!$A$2:$C$150,3,0)),"",VLOOKUP($E15,DD!$A$2:$C$150,3,0)))</f>
        <v>1.4</v>
      </c>
      <c r="H15" s="116">
        <v>4</v>
      </c>
      <c r="I15" s="116">
        <v>4</v>
      </c>
      <c r="J15" s="116">
        <v>4.5</v>
      </c>
      <c r="K15" s="116">
        <v>4.5</v>
      </c>
      <c r="L15" s="116">
        <v>4</v>
      </c>
      <c r="M15" s="81"/>
      <c r="N15" s="82">
        <f t="shared" si="0"/>
        <v>17.5</v>
      </c>
      <c r="O15" s="82">
        <f>IF(N15="","",N15+O14)</f>
        <v>38.299999999999997</v>
      </c>
      <c r="R15" s="53">
        <f>O57+0.000014</f>
        <v>93.350013999999987</v>
      </c>
      <c r="S15" s="53" t="str">
        <f>B54</f>
        <v>Liam Elliot</v>
      </c>
      <c r="T15" s="53" t="str">
        <f>C54</f>
        <v>HCP</v>
      </c>
    </row>
    <row r="16" spans="1:20" x14ac:dyDescent="0.25">
      <c r="A16" s="103"/>
      <c r="B16" s="110"/>
      <c r="C16" s="112"/>
      <c r="D16" s="80">
        <v>3</v>
      </c>
      <c r="E16" s="114" t="s">
        <v>86</v>
      </c>
      <c r="F16" s="82" t="str">
        <f>IF($E16="","",IF(ISNA(VLOOKUP($E16,DD!$A$2:$C$150,2,0)),"NO SUCH DIVE",VLOOKUP($E16,DD!$A$2:$C$150,2,0)))</f>
        <v>Front jump tuck</v>
      </c>
      <c r="G16" s="80">
        <f>IF($E16="","",IF(ISNA(VLOOKUP($E16,DD!$A$2:$C$150,3,0)),"",VLOOKUP($E16,DD!$A$2:$C$150,3,0)))</f>
        <v>0.6</v>
      </c>
      <c r="H16" s="116">
        <v>6</v>
      </c>
      <c r="I16" s="116">
        <v>5.5</v>
      </c>
      <c r="J16" s="116">
        <v>6.5</v>
      </c>
      <c r="K16" s="116">
        <v>5.5</v>
      </c>
      <c r="L16" s="116">
        <v>6.5</v>
      </c>
      <c r="M16" s="81"/>
      <c r="N16" s="82">
        <f t="shared" si="0"/>
        <v>10.799999999999999</v>
      </c>
      <c r="O16" s="82">
        <f>IF(N16="","",N16+O15)</f>
        <v>49.099999999999994</v>
      </c>
      <c r="R16" s="53">
        <f>O61+0.000015</f>
        <v>82.150014999999996</v>
      </c>
      <c r="S16" s="53" t="str">
        <f>B58</f>
        <v>Oliver Hennon</v>
      </c>
      <c r="T16" s="53" t="str">
        <f>C58</f>
        <v>Val</v>
      </c>
    </row>
    <row r="17" spans="1:20" x14ac:dyDescent="0.25">
      <c r="A17" s="103"/>
      <c r="B17" s="110"/>
      <c r="C17" s="112"/>
      <c r="D17" s="80">
        <v>4</v>
      </c>
      <c r="E17" s="114" t="s">
        <v>114</v>
      </c>
      <c r="F17" s="82" t="str">
        <f>IF($E17="","",IF(ISNA(VLOOKUP($E17,DD!$A$2:$C$150,2,0)),"NO SUCH DIVE",VLOOKUP($E17,DD!$A$2:$C$150,2,0)))</f>
        <v>Back jump tuck</v>
      </c>
      <c r="G17" s="80">
        <f>IF($E17="","",IF(ISNA(VLOOKUP($E17,DD!$A$2:$C$150,3,0)),"",VLOOKUP($E17,DD!$A$2:$C$150,3,0)))</f>
        <v>0.6</v>
      </c>
      <c r="H17" s="116">
        <v>5</v>
      </c>
      <c r="I17" s="116">
        <v>5.5</v>
      </c>
      <c r="J17" s="116">
        <v>5.5</v>
      </c>
      <c r="K17" s="116">
        <v>5.5</v>
      </c>
      <c r="L17" s="116">
        <v>5.5</v>
      </c>
      <c r="M17" s="81"/>
      <c r="N17" s="82">
        <f t="shared" si="0"/>
        <v>9.9</v>
      </c>
      <c r="O17" s="85">
        <f>IF(N17="",0,N17+O16)</f>
        <v>58.999999999999993</v>
      </c>
      <c r="R17" s="53">
        <f>O65+0.000016</f>
        <v>97.650016000000008</v>
      </c>
      <c r="S17" s="53" t="str">
        <f>B62</f>
        <v>Noah Nelson</v>
      </c>
      <c r="T17" s="53" t="str">
        <f>C62</f>
        <v>HCP</v>
      </c>
    </row>
    <row r="18" spans="1:20" ht="13.9" customHeight="1" x14ac:dyDescent="0.25">
      <c r="A18" s="97">
        <v>5</v>
      </c>
      <c r="B18" s="109" t="s">
        <v>415</v>
      </c>
      <c r="C18" s="111" t="s">
        <v>49</v>
      </c>
      <c r="D18" s="46">
        <v>1</v>
      </c>
      <c r="E18" s="113" t="s">
        <v>86</v>
      </c>
      <c r="F18" s="45" t="str">
        <f>IF($E18="","",IF(ISNA(VLOOKUP($E18,DD!$A$2:$C$150,2,0)),"NO SUCH DIVE",VLOOKUP($E18,DD!$A$2:$C$150,2,0)))</f>
        <v>Front jump tuck</v>
      </c>
      <c r="G18" s="51">
        <f>IF($E18="","",IF(ISNA(VLOOKUP($E18,DD!$A$2:$C$150,3,0)),"",VLOOKUP($E18,DD!$A$2:$C$150,3,0)))</f>
        <v>0.6</v>
      </c>
      <c r="H18" s="115">
        <v>6.5</v>
      </c>
      <c r="I18" s="115">
        <v>6.5</v>
      </c>
      <c r="J18" s="115">
        <v>6.5</v>
      </c>
      <c r="K18" s="115">
        <v>7</v>
      </c>
      <c r="L18" s="115">
        <v>6.5</v>
      </c>
      <c r="M18" s="50"/>
      <c r="N18" s="45">
        <f t="shared" si="0"/>
        <v>11.7</v>
      </c>
      <c r="O18" s="45">
        <f>IF(N18="","",N18)</f>
        <v>11.7</v>
      </c>
      <c r="R18" s="53">
        <f>O69+0.000017</f>
        <v>1.7E-5</v>
      </c>
      <c r="S18" s="53">
        <f>B66</f>
        <v>0</v>
      </c>
      <c r="T18" s="53">
        <f>C66</f>
        <v>0</v>
      </c>
    </row>
    <row r="19" spans="1:20" x14ac:dyDescent="0.25">
      <c r="A19" s="97"/>
      <c r="B19" s="109"/>
      <c r="C19" s="111"/>
      <c r="D19" s="46">
        <v>2</v>
      </c>
      <c r="E19" s="113" t="s">
        <v>225</v>
      </c>
      <c r="F19" s="45" t="str">
        <f>IF($E19="","",IF(ISNA(VLOOKUP($E19,DD!$A$2:$C$150,2,0)),"NO SUCH DIVE",VLOOKUP($E19,DD!$A$2:$C$150,2,0)))</f>
        <v>Back jump layout</v>
      </c>
      <c r="G19" s="51">
        <f>IF($E19="","",IF(ISNA(VLOOKUP($E19,DD!$A$2:$C$150,3,0)),"",VLOOKUP($E19,DD!$A$2:$C$150,3,0)))</f>
        <v>0.5</v>
      </c>
      <c r="H19" s="115">
        <v>6</v>
      </c>
      <c r="I19" s="115">
        <v>7</v>
      </c>
      <c r="J19" s="115">
        <v>7</v>
      </c>
      <c r="K19" s="115">
        <v>6</v>
      </c>
      <c r="L19" s="115">
        <v>6.5</v>
      </c>
      <c r="M19" s="50"/>
      <c r="N19" s="45">
        <f t="shared" si="0"/>
        <v>9.75</v>
      </c>
      <c r="O19" s="45">
        <f>IF(N19="","",N19+O18)</f>
        <v>21.45</v>
      </c>
      <c r="R19" s="53">
        <f>O73+0.000018</f>
        <v>1.8E-5</v>
      </c>
      <c r="S19" s="53">
        <f>B70</f>
        <v>0</v>
      </c>
      <c r="T19" s="53">
        <f>C70</f>
        <v>0</v>
      </c>
    </row>
    <row r="20" spans="1:20" x14ac:dyDescent="0.25">
      <c r="A20" s="97"/>
      <c r="B20" s="109"/>
      <c r="C20" s="111"/>
      <c r="D20" s="46">
        <v>3</v>
      </c>
      <c r="E20" s="113" t="s">
        <v>118</v>
      </c>
      <c r="F20" s="45" t="str">
        <f>IF($E20="","",IF(ISNA(VLOOKUP($E20,DD!$A$2:$C$150,2,0)),"NO SUCH DIVE",VLOOKUP($E20,DD!$A$2:$C$150,2,0)))</f>
        <v>Front dive tuck</v>
      </c>
      <c r="G20" s="46">
        <f>IF($E20="","",IF(ISNA(VLOOKUP($E20,DD!$A$2:$C$150,3,0)),"",VLOOKUP($E20,DD!$A$2:$C$150,3,0)))</f>
        <v>1.3</v>
      </c>
      <c r="H20" s="115">
        <v>6.5</v>
      </c>
      <c r="I20" s="115">
        <v>6.5</v>
      </c>
      <c r="J20" s="115">
        <v>5.5</v>
      </c>
      <c r="K20" s="115">
        <v>6</v>
      </c>
      <c r="L20" s="115">
        <v>5.5</v>
      </c>
      <c r="M20" s="50"/>
      <c r="N20" s="45">
        <f t="shared" si="0"/>
        <v>23.400000000000002</v>
      </c>
      <c r="O20" s="45">
        <f>IF(N20="","",N20+O19)</f>
        <v>44.85</v>
      </c>
      <c r="R20" s="53">
        <f>O77+0.000019</f>
        <v>1.9000000000000001E-5</v>
      </c>
      <c r="S20" s="53">
        <f>B74</f>
        <v>0</v>
      </c>
      <c r="T20" s="53">
        <f>C74</f>
        <v>0</v>
      </c>
    </row>
    <row r="21" spans="1:20" x14ac:dyDescent="0.25">
      <c r="A21" s="97"/>
      <c r="B21" s="109"/>
      <c r="C21" s="111"/>
      <c r="D21" s="46">
        <v>4</v>
      </c>
      <c r="E21" s="113" t="s">
        <v>115</v>
      </c>
      <c r="F21" s="45" t="str">
        <f>IF($E21="","",IF(ISNA(VLOOKUP($E21,DD!$A$2:$C$150,2,0)),"NO SUCH DIVE",VLOOKUP($E21,DD!$A$2:$C$150,2,0)))</f>
        <v>Back dive layout</v>
      </c>
      <c r="G21" s="46">
        <f>IF($E21="","",IF(ISNA(VLOOKUP($E21,DD!$A$2:$C$150,3,0)),"",VLOOKUP($E21,DD!$A$2:$C$150,3,0)))</f>
        <v>1.4</v>
      </c>
      <c r="H21" s="115">
        <v>5</v>
      </c>
      <c r="I21" s="115">
        <v>5</v>
      </c>
      <c r="J21" s="115">
        <v>5.5</v>
      </c>
      <c r="K21" s="115">
        <v>5</v>
      </c>
      <c r="L21" s="115">
        <v>5</v>
      </c>
      <c r="M21" s="50"/>
      <c r="N21" s="45">
        <f t="shared" si="0"/>
        <v>21</v>
      </c>
      <c r="O21" s="54">
        <f>IF(N21="",0,N21+O20)</f>
        <v>65.849999999999994</v>
      </c>
      <c r="R21" s="53">
        <f>O81+0.00002</f>
        <v>2.0000000000000002E-5</v>
      </c>
      <c r="S21" s="53">
        <f>B78</f>
        <v>0</v>
      </c>
      <c r="T21" s="53">
        <f>C78</f>
        <v>0</v>
      </c>
    </row>
    <row r="22" spans="1:20" x14ac:dyDescent="0.25">
      <c r="A22" s="103">
        <v>6</v>
      </c>
      <c r="B22" s="110"/>
      <c r="C22" s="112"/>
      <c r="D22" s="80">
        <v>1</v>
      </c>
      <c r="E22" s="114"/>
      <c r="F22" s="82" t="str">
        <f>IF($E22="","",IF(ISNA(VLOOKUP($E22,DD!$A$2:$C$150,2,0)),"NO SUCH DIVE",VLOOKUP($E22,DD!$A$2:$C$150,2,0)))</f>
        <v/>
      </c>
      <c r="G22" s="83" t="str">
        <f>IF($E22="","",IF(ISNA(VLOOKUP($E22,DD!$A$2:$C$150,3,0)),"",VLOOKUP($E22,DD!$A$2:$C$150,3,0)))</f>
        <v/>
      </c>
      <c r="H22" s="116"/>
      <c r="I22" s="116"/>
      <c r="J22" s="116"/>
      <c r="K22" s="116"/>
      <c r="L22" s="116"/>
      <c r="M22" s="81"/>
      <c r="N22" s="82" t="str">
        <f t="shared" si="0"/>
        <v/>
      </c>
      <c r="O22" s="82" t="str">
        <f>IF(N22="","",N22)</f>
        <v/>
      </c>
      <c r="R22" s="53">
        <f>O85+0.000021</f>
        <v>2.0999999999999999E-5</v>
      </c>
      <c r="S22" s="53">
        <f>B82</f>
        <v>0</v>
      </c>
      <c r="T22" s="53">
        <f>C82</f>
        <v>0</v>
      </c>
    </row>
    <row r="23" spans="1:20" x14ac:dyDescent="0.25">
      <c r="A23" s="103"/>
      <c r="B23" s="110"/>
      <c r="C23" s="112"/>
      <c r="D23" s="80">
        <v>2</v>
      </c>
      <c r="E23" s="114"/>
      <c r="F23" s="82" t="str">
        <f>IF($E23="","",IF(ISNA(VLOOKUP($E23,DD!$A$2:$C$150,2,0)),"NO SUCH DIVE",VLOOKUP($E23,DD!$A$2:$C$150,2,0)))</f>
        <v/>
      </c>
      <c r="G23" s="83" t="str">
        <f>IF($E23="","",IF(ISNA(VLOOKUP($E23,DD!$A$2:$C$150,3,0)),"",VLOOKUP($E23,DD!$A$2:$C$150,3,0)))</f>
        <v/>
      </c>
      <c r="H23" s="116"/>
      <c r="I23" s="116"/>
      <c r="J23" s="116"/>
      <c r="K23" s="116"/>
      <c r="L23" s="116"/>
      <c r="M23" s="81"/>
      <c r="N23" s="82" t="str">
        <f t="shared" si="0"/>
        <v/>
      </c>
      <c r="O23" s="82" t="str">
        <f>IF(N23="","",N23+O22)</f>
        <v/>
      </c>
      <c r="R23" s="53">
        <f>O89+0.000022</f>
        <v>2.1999999999999999E-5</v>
      </c>
      <c r="S23" s="53">
        <f>B86</f>
        <v>0</v>
      </c>
      <c r="T23" s="53">
        <f>C86</f>
        <v>0</v>
      </c>
    </row>
    <row r="24" spans="1:20" x14ac:dyDescent="0.25">
      <c r="A24" s="103"/>
      <c r="B24" s="110"/>
      <c r="C24" s="112"/>
      <c r="D24" s="80">
        <v>3</v>
      </c>
      <c r="E24" s="114"/>
      <c r="F24" s="82" t="str">
        <f>IF($E24="","",IF(ISNA(VLOOKUP($E24,DD!$A$2:$C$150,2,0)),"NO SUCH DIVE",VLOOKUP($E24,DD!$A$2:$C$150,2,0)))</f>
        <v/>
      </c>
      <c r="G24" s="80" t="str">
        <f>IF($E24="","",IF(ISNA(VLOOKUP($E24,DD!$A$2:$C$150,3,0)),"",VLOOKUP($E24,DD!$A$2:$C$150,3,0)))</f>
        <v/>
      </c>
      <c r="H24" s="116"/>
      <c r="I24" s="116"/>
      <c r="J24" s="116"/>
      <c r="K24" s="116"/>
      <c r="L24" s="116"/>
      <c r="M24" s="81"/>
      <c r="N24" s="82" t="str">
        <f t="shared" si="0"/>
        <v/>
      </c>
      <c r="O24" s="82" t="str">
        <f>IF(N24="","",N24+O23)</f>
        <v/>
      </c>
      <c r="R24" s="53">
        <f>O93+0.000023</f>
        <v>2.3E-5</v>
      </c>
      <c r="S24" s="53">
        <f>B90</f>
        <v>0</v>
      </c>
      <c r="T24" s="53">
        <f>C90</f>
        <v>0</v>
      </c>
    </row>
    <row r="25" spans="1:20" x14ac:dyDescent="0.25">
      <c r="A25" s="103"/>
      <c r="B25" s="110"/>
      <c r="C25" s="112"/>
      <c r="D25" s="80">
        <v>4</v>
      </c>
      <c r="E25" s="114"/>
      <c r="F25" s="82" t="str">
        <f>IF($E25="","",IF(ISNA(VLOOKUP($E25,DD!$A$2:$C$150,2,0)),"NO SUCH DIVE",VLOOKUP($E25,DD!$A$2:$C$150,2,0)))</f>
        <v/>
      </c>
      <c r="G25" s="80" t="str">
        <f>IF($E25="","",IF(ISNA(VLOOKUP($E25,DD!$A$2:$C$150,3,0)),"",VLOOKUP($E25,DD!$A$2:$C$150,3,0)))</f>
        <v/>
      </c>
      <c r="H25" s="116"/>
      <c r="I25" s="116"/>
      <c r="J25" s="116"/>
      <c r="K25" s="116"/>
      <c r="L25" s="116"/>
      <c r="M25" s="81"/>
      <c r="N25" s="82" t="str">
        <f t="shared" si="0"/>
        <v/>
      </c>
      <c r="O25" s="85">
        <f>IF(N25="",0,N25+O24)</f>
        <v>0</v>
      </c>
      <c r="R25" s="53">
        <f>O97+0.000024</f>
        <v>2.4000000000000001E-5</v>
      </c>
      <c r="S25" s="53">
        <f>B94</f>
        <v>0</v>
      </c>
      <c r="T25" s="53">
        <f>C94</f>
        <v>0</v>
      </c>
    </row>
    <row r="26" spans="1:20" x14ac:dyDescent="0.25">
      <c r="A26" s="97">
        <v>7</v>
      </c>
      <c r="B26" s="109" t="s">
        <v>416</v>
      </c>
      <c r="C26" s="111" t="s">
        <v>4</v>
      </c>
      <c r="D26" s="46">
        <v>1</v>
      </c>
      <c r="E26" s="113" t="s">
        <v>155</v>
      </c>
      <c r="F26" s="45" t="str">
        <f>IF($E26="","",IF(ISNA(VLOOKUP($E26,DD!$A$2:$C$150,2,0)),"NO SUCH DIVE",VLOOKUP($E26,DD!$A$2:$C$150,2,0)))</f>
        <v>Front  1 ½ somersault tuck</v>
      </c>
      <c r="G26" s="51">
        <f>IF($E26="","",IF(ISNA(VLOOKUP($E26,DD!$A$2:$C$150,3,0)),"",VLOOKUP($E26,DD!$A$2:$C$150,3,0)))</f>
        <v>1.6</v>
      </c>
      <c r="H26" s="115">
        <v>6.5</v>
      </c>
      <c r="I26" s="115">
        <v>6.5</v>
      </c>
      <c r="J26" s="115">
        <v>6.5</v>
      </c>
      <c r="K26" s="115">
        <v>6.5</v>
      </c>
      <c r="L26" s="115">
        <v>6.5</v>
      </c>
      <c r="M26" s="50"/>
      <c r="N26" s="45">
        <f t="shared" si="0"/>
        <v>31.200000000000003</v>
      </c>
      <c r="O26" s="45">
        <f>IF(N26="","",N26)</f>
        <v>31.200000000000003</v>
      </c>
      <c r="R26" s="53">
        <v>0</v>
      </c>
    </row>
    <row r="27" spans="1:20" x14ac:dyDescent="0.25">
      <c r="A27" s="97"/>
      <c r="B27" s="109"/>
      <c r="C27" s="111"/>
      <c r="D27" s="46">
        <v>2</v>
      </c>
      <c r="E27" s="113" t="s">
        <v>146</v>
      </c>
      <c r="F27" s="45" t="str">
        <f>IF($E27="","",IF(ISNA(VLOOKUP($E27,DD!$A$2:$C$150,2,0)),"NO SUCH DIVE",VLOOKUP($E27,DD!$A$2:$C$150,2,0)))</f>
        <v>Back somersault layout</v>
      </c>
      <c r="G27" s="51">
        <f>IF($E27="","",IF(ISNA(VLOOKUP($E27,DD!$A$2:$C$150,3,0)),"",VLOOKUP($E27,DD!$A$2:$C$150,3,0)))</f>
        <v>1.7</v>
      </c>
      <c r="H27" s="115">
        <v>4.5</v>
      </c>
      <c r="I27" s="115">
        <v>4.5</v>
      </c>
      <c r="J27" s="115">
        <v>4</v>
      </c>
      <c r="K27" s="115">
        <v>4.5</v>
      </c>
      <c r="L27" s="115">
        <v>4.5</v>
      </c>
      <c r="M27" s="50"/>
      <c r="N27" s="45">
        <f t="shared" si="0"/>
        <v>22.95</v>
      </c>
      <c r="O27" s="45">
        <f>IF(N27="","",N27+O26)</f>
        <v>54.150000000000006</v>
      </c>
    </row>
    <row r="28" spans="1:20" x14ac:dyDescent="0.25">
      <c r="A28" s="97"/>
      <c r="B28" s="109"/>
      <c r="C28" s="111"/>
      <c r="D28" s="46">
        <v>3</v>
      </c>
      <c r="E28" s="113" t="s">
        <v>425</v>
      </c>
      <c r="F28" s="45" t="str">
        <f>IF($E28="","",IF(ISNA(VLOOKUP($E28,DD!$A$2:$C$150,2,0)),"NO SUCH DIVE",VLOOKUP($E28,DD!$A$2:$C$150,2,0)))</f>
        <v>Back somersault ½ twist free</v>
      </c>
      <c r="G28" s="46">
        <f>IF($E28="","",IF(ISNA(VLOOKUP($E28,DD!$A$2:$C$150,3,0)),"",VLOOKUP($E28,DD!$A$2:$C$150,3,0)))</f>
        <v>1.7</v>
      </c>
      <c r="H28" s="115">
        <v>6</v>
      </c>
      <c r="I28" s="115">
        <v>5.5</v>
      </c>
      <c r="J28" s="115">
        <v>5.5</v>
      </c>
      <c r="K28" s="115">
        <v>5</v>
      </c>
      <c r="L28" s="115">
        <v>5.5</v>
      </c>
      <c r="M28" s="50"/>
      <c r="N28" s="45">
        <f t="shared" si="0"/>
        <v>28.05</v>
      </c>
      <c r="O28" s="45">
        <f>IF(N28="","",N28+O27)</f>
        <v>82.2</v>
      </c>
    </row>
    <row r="29" spans="1:20" x14ac:dyDescent="0.25">
      <c r="A29" s="97"/>
      <c r="B29" s="109"/>
      <c r="C29" s="111"/>
      <c r="D29" s="46">
        <v>4</v>
      </c>
      <c r="E29" s="113" t="s">
        <v>426</v>
      </c>
      <c r="F29" s="45" t="str">
        <f>IF($E29="","",IF(ISNA(VLOOKUP($E29,DD!$A$2:$C$150,2,0)),"NO SUCH DIVE",VLOOKUP($E29,DD!$A$2:$C$150,2,0)))</f>
        <v>Front double somersault tuck</v>
      </c>
      <c r="G29" s="46">
        <f>IF($E29="","",IF(ISNA(VLOOKUP($E29,DD!$A$2:$C$150,3,0)),"",VLOOKUP($E29,DD!$A$2:$C$150,3,0)))</f>
        <v>2.2000000000000002</v>
      </c>
      <c r="H29" s="115">
        <v>5</v>
      </c>
      <c r="I29" s="115">
        <v>5.5</v>
      </c>
      <c r="J29" s="115">
        <v>5.5</v>
      </c>
      <c r="K29" s="115">
        <v>7</v>
      </c>
      <c r="L29" s="115">
        <v>5</v>
      </c>
      <c r="M29" s="50"/>
      <c r="N29" s="45">
        <f t="shared" si="0"/>
        <v>35.200000000000003</v>
      </c>
      <c r="O29" s="54">
        <f>IF(N29="",0,N29+O28)</f>
        <v>117.4</v>
      </c>
    </row>
    <row r="30" spans="1:20" x14ac:dyDescent="0.25">
      <c r="A30" s="103">
        <v>8</v>
      </c>
      <c r="B30" s="110" t="s">
        <v>417</v>
      </c>
      <c r="C30" s="112" t="s">
        <v>57</v>
      </c>
      <c r="D30" s="80">
        <v>1</v>
      </c>
      <c r="E30" s="114" t="s">
        <v>54</v>
      </c>
      <c r="F30" s="82" t="str">
        <f>IF($E30="","",IF(ISNA(VLOOKUP($E30,DD!$A$2:$C$150,2,0)),"NO SUCH DIVE",VLOOKUP($E30,DD!$A$2:$C$150,2,0)))</f>
        <v>Front dive layout</v>
      </c>
      <c r="G30" s="83">
        <f>IF($E30="","",IF(ISNA(VLOOKUP($E30,DD!$A$2:$C$150,3,0)),"",VLOOKUP($E30,DD!$A$2:$C$150,3,0)))</f>
        <v>1.3</v>
      </c>
      <c r="H30" s="116">
        <v>5</v>
      </c>
      <c r="I30" s="116">
        <v>5.5</v>
      </c>
      <c r="J30" s="116">
        <v>5</v>
      </c>
      <c r="K30" s="116">
        <v>6</v>
      </c>
      <c r="L30" s="116">
        <v>5</v>
      </c>
      <c r="M30" s="81"/>
      <c r="N30" s="82">
        <f t="shared" si="0"/>
        <v>20.150000000000002</v>
      </c>
      <c r="O30" s="82">
        <f>IF(N30="","",N30)</f>
        <v>20.150000000000002</v>
      </c>
    </row>
    <row r="31" spans="1:20" x14ac:dyDescent="0.25">
      <c r="A31" s="103"/>
      <c r="B31" s="110"/>
      <c r="C31" s="112"/>
      <c r="D31" s="80">
        <v>2</v>
      </c>
      <c r="E31" s="114" t="s">
        <v>50</v>
      </c>
      <c r="F31" s="82" t="str">
        <f>IF($E31="","",IF(ISNA(VLOOKUP($E31,DD!$A$2:$C$150,2,0)),"NO SUCH DIVE",VLOOKUP($E31,DD!$A$2:$C$150,2,0)))</f>
        <v>Back jump layout</v>
      </c>
      <c r="G31" s="83">
        <f>IF($E31="","",IF(ISNA(VLOOKUP($E31,DD!$A$2:$C$150,3,0)),"",VLOOKUP($E31,DD!$A$2:$C$150,3,0)))</f>
        <v>0.5</v>
      </c>
      <c r="H31" s="116">
        <v>7</v>
      </c>
      <c r="I31" s="116">
        <v>7</v>
      </c>
      <c r="J31" s="116">
        <v>7</v>
      </c>
      <c r="K31" s="116">
        <v>7</v>
      </c>
      <c r="L31" s="116">
        <v>7</v>
      </c>
      <c r="M31" s="81"/>
      <c r="N31" s="82">
        <f t="shared" si="0"/>
        <v>10.5</v>
      </c>
      <c r="O31" s="82">
        <f>IF(N31="","",N31+O30)</f>
        <v>30.650000000000002</v>
      </c>
    </row>
    <row r="32" spans="1:20" x14ac:dyDescent="0.25">
      <c r="A32" s="103"/>
      <c r="B32" s="110"/>
      <c r="C32" s="112"/>
      <c r="D32" s="80">
        <v>3</v>
      </c>
      <c r="E32" s="114" t="s">
        <v>64</v>
      </c>
      <c r="F32" s="82" t="str">
        <f>IF($E32="","",IF(ISNA(VLOOKUP($E32,DD!$A$2:$C$150,2,0)),"NO SUCH DIVE",VLOOKUP($E32,DD!$A$2:$C$150,2,0)))</f>
        <v>Back dive ½ twist layout</v>
      </c>
      <c r="G32" s="80">
        <f>IF($E32="","",IF(ISNA(VLOOKUP($E32,DD!$A$2:$C$150,3,0)),"",VLOOKUP($E32,DD!$A$2:$C$150,3,0)))</f>
        <v>1.4</v>
      </c>
      <c r="H32" s="116">
        <v>5.5</v>
      </c>
      <c r="I32" s="116">
        <v>5.5</v>
      </c>
      <c r="J32" s="116">
        <v>4.5</v>
      </c>
      <c r="K32" s="116">
        <v>5.5</v>
      </c>
      <c r="L32" s="116">
        <v>4.5</v>
      </c>
      <c r="M32" s="81"/>
      <c r="N32" s="82">
        <f t="shared" si="0"/>
        <v>21.7</v>
      </c>
      <c r="O32" s="82">
        <f>IF(N32="","",N32+O31)</f>
        <v>52.35</v>
      </c>
    </row>
    <row r="33" spans="1:15" x14ac:dyDescent="0.25">
      <c r="A33" s="103"/>
      <c r="B33" s="110"/>
      <c r="C33" s="112"/>
      <c r="D33" s="80">
        <v>4</v>
      </c>
      <c r="E33" s="114" t="s">
        <v>72</v>
      </c>
      <c r="F33" s="82" t="str">
        <f>IF($E33="","",IF(ISNA(VLOOKUP($E33,DD!$A$2:$C$150,2,0)),"NO SUCH DIVE",VLOOKUP($E33,DD!$A$2:$C$150,2,0)))</f>
        <v>Front somersault tuck</v>
      </c>
      <c r="G33" s="80">
        <f>IF($E33="","",IF(ISNA(VLOOKUP($E33,DD!$A$2:$C$150,3,0)),"",VLOOKUP($E33,DD!$A$2:$C$150,3,0)))</f>
        <v>1.4</v>
      </c>
      <c r="H33" s="116">
        <v>3.5</v>
      </c>
      <c r="I33" s="116">
        <v>3.5</v>
      </c>
      <c r="J33" s="116">
        <v>4</v>
      </c>
      <c r="K33" s="116">
        <v>4.5</v>
      </c>
      <c r="L33" s="116">
        <v>4</v>
      </c>
      <c r="M33" s="81"/>
      <c r="N33" s="82">
        <f t="shared" si="0"/>
        <v>16.099999999999998</v>
      </c>
      <c r="O33" s="85">
        <f>IF(N33="",0,N33+O32)</f>
        <v>68.45</v>
      </c>
    </row>
    <row r="34" spans="1:15" x14ac:dyDescent="0.25">
      <c r="A34" s="97">
        <v>9</v>
      </c>
      <c r="B34" s="109"/>
      <c r="C34" s="111"/>
      <c r="D34" s="46">
        <v>1</v>
      </c>
      <c r="E34" s="113"/>
      <c r="F34" s="45" t="str">
        <f>IF($E34="","",IF(ISNA(VLOOKUP($E34,DD!$A$2:$C$150,2,0)),"NO SUCH DIVE",VLOOKUP($E34,DD!$A$2:$C$150,2,0)))</f>
        <v/>
      </c>
      <c r="G34" s="51" t="str">
        <f>IF($E34="","",IF(ISNA(VLOOKUP($E34,DD!$A$2:$C$150,3,0)),"",VLOOKUP($E34,DD!$A$2:$C$150,3,0)))</f>
        <v/>
      </c>
      <c r="H34" s="115"/>
      <c r="I34" s="115"/>
      <c r="J34" s="115"/>
      <c r="K34" s="115"/>
      <c r="L34" s="115"/>
      <c r="M34" s="50"/>
      <c r="N34" s="45" t="str">
        <f t="shared" ref="N34:N65" si="1">IF(G34="","",IF(COUNT(H34:L34)=3,IF(M34&lt;&gt;"",(SUM(H34:J34)-6)*G34,SUM(H34:J34)*G34),IF(M34&lt;&gt;"",(SUM(H34:L34)-MAX(H34:L34)-MIN(H34:L34)-6)*G34,(SUM(H34:L34)-MAX(H34:L34)-MIN(H34:L34))*G34)))</f>
        <v/>
      </c>
      <c r="O34" s="45" t="str">
        <f>IF(N34="","",N34)</f>
        <v/>
      </c>
    </row>
    <row r="35" spans="1:15" x14ac:dyDescent="0.25">
      <c r="A35" s="97"/>
      <c r="B35" s="109"/>
      <c r="C35" s="111"/>
      <c r="D35" s="46">
        <v>2</v>
      </c>
      <c r="E35" s="113"/>
      <c r="F35" s="45" t="str">
        <f>IF($E35="","",IF(ISNA(VLOOKUP($E35,DD!$A$2:$C$150,2,0)),"NO SUCH DIVE",VLOOKUP($E35,DD!$A$2:$C$150,2,0)))</f>
        <v/>
      </c>
      <c r="G35" s="51" t="str">
        <f>IF($E35="","",IF(ISNA(VLOOKUP($E35,DD!$A$2:$C$150,3,0)),"",VLOOKUP($E35,DD!$A$2:$C$150,3,0)))</f>
        <v/>
      </c>
      <c r="H35" s="115"/>
      <c r="I35" s="115"/>
      <c r="J35" s="115"/>
      <c r="K35" s="115"/>
      <c r="L35" s="115"/>
      <c r="M35" s="50"/>
      <c r="N35" s="45" t="str">
        <f t="shared" si="1"/>
        <v/>
      </c>
      <c r="O35" s="45" t="str">
        <f>IF(N35="","",N35+O34)</f>
        <v/>
      </c>
    </row>
    <row r="36" spans="1:15" x14ac:dyDescent="0.25">
      <c r="A36" s="97"/>
      <c r="B36" s="109"/>
      <c r="C36" s="111"/>
      <c r="D36" s="46">
        <v>3</v>
      </c>
      <c r="E36" s="113"/>
      <c r="F36" s="45" t="str">
        <f>IF($E36="","",IF(ISNA(VLOOKUP($E36,DD!$A$2:$C$150,2,0)),"NO SUCH DIVE",VLOOKUP($E36,DD!$A$2:$C$150,2,0)))</f>
        <v/>
      </c>
      <c r="G36" s="46" t="str">
        <f>IF($E36="","",IF(ISNA(VLOOKUP($E36,DD!$A$2:$C$150,3,0)),"",VLOOKUP($E36,DD!$A$2:$C$150,3,0)))</f>
        <v/>
      </c>
      <c r="H36" s="115"/>
      <c r="I36" s="115"/>
      <c r="J36" s="115"/>
      <c r="K36" s="115"/>
      <c r="L36" s="115"/>
      <c r="M36" s="50"/>
      <c r="N36" s="45" t="str">
        <f t="shared" si="1"/>
        <v/>
      </c>
      <c r="O36" s="45" t="str">
        <f>IF(N36="","",N36+O35)</f>
        <v/>
      </c>
    </row>
    <row r="37" spans="1:15" x14ac:dyDescent="0.25">
      <c r="A37" s="97"/>
      <c r="B37" s="109"/>
      <c r="C37" s="111"/>
      <c r="D37" s="46">
        <v>4</v>
      </c>
      <c r="E37" s="113"/>
      <c r="F37" s="45" t="str">
        <f>IF($E37="","",IF(ISNA(VLOOKUP($E37,DD!$A$2:$C$150,2,0)),"NO SUCH DIVE",VLOOKUP($E37,DD!$A$2:$C$150,2,0)))</f>
        <v/>
      </c>
      <c r="G37" s="46" t="str">
        <f>IF($E37="","",IF(ISNA(VLOOKUP($E37,DD!$A$2:$C$150,3,0)),"",VLOOKUP($E37,DD!$A$2:$C$150,3,0)))</f>
        <v/>
      </c>
      <c r="H37" s="115"/>
      <c r="I37" s="115"/>
      <c r="J37" s="115"/>
      <c r="K37" s="115"/>
      <c r="L37" s="115"/>
      <c r="M37" s="50"/>
      <c r="N37" s="45" t="str">
        <f t="shared" si="1"/>
        <v/>
      </c>
      <c r="O37" s="54">
        <f>IF(N37="",0,N37+O36)</f>
        <v>0</v>
      </c>
    </row>
    <row r="38" spans="1:15" x14ac:dyDescent="0.25">
      <c r="A38" s="103">
        <v>10</v>
      </c>
      <c r="B38" s="110" t="s">
        <v>418</v>
      </c>
      <c r="C38" s="112" t="s">
        <v>49</v>
      </c>
      <c r="D38" s="80">
        <v>1</v>
      </c>
      <c r="E38" s="114" t="s">
        <v>54</v>
      </c>
      <c r="F38" s="82" t="str">
        <f>IF($E38="","",IF(ISNA(VLOOKUP($E38,DD!$A$2:$C$150,2,0)),"NO SUCH DIVE",VLOOKUP($E38,DD!$A$2:$C$150,2,0)))</f>
        <v>Front dive layout</v>
      </c>
      <c r="G38" s="83">
        <f>IF($E38="","",IF(ISNA(VLOOKUP($E38,DD!$A$2:$C$150,3,0)),"",VLOOKUP($E38,DD!$A$2:$C$150,3,0)))</f>
        <v>1.3</v>
      </c>
      <c r="H38" s="116">
        <v>4</v>
      </c>
      <c r="I38" s="116">
        <v>5</v>
      </c>
      <c r="J38" s="116">
        <v>5.5</v>
      </c>
      <c r="K38" s="116">
        <v>5</v>
      </c>
      <c r="L38" s="116">
        <v>5.5</v>
      </c>
      <c r="M38" s="81"/>
      <c r="N38" s="82">
        <f t="shared" si="1"/>
        <v>20.150000000000002</v>
      </c>
      <c r="O38" s="82">
        <f>IF(N38="","",N38)</f>
        <v>20.150000000000002</v>
      </c>
    </row>
    <row r="39" spans="1:15" x14ac:dyDescent="0.25">
      <c r="A39" s="103"/>
      <c r="B39" s="110"/>
      <c r="C39" s="112"/>
      <c r="D39" s="80">
        <v>2</v>
      </c>
      <c r="E39" s="114" t="s">
        <v>61</v>
      </c>
      <c r="F39" s="82" t="str">
        <f>IF($E39="","",IF(ISNA(VLOOKUP($E39,DD!$A$2:$C$150,2,0)),"NO SUCH DIVE",VLOOKUP($E39,DD!$A$2:$C$150,2,0)))</f>
        <v>Back jump tuck</v>
      </c>
      <c r="G39" s="83">
        <f>IF($E39="","",IF(ISNA(VLOOKUP($E39,DD!$A$2:$C$150,3,0)),"",VLOOKUP($E39,DD!$A$2:$C$150,3,0)))</f>
        <v>0.6</v>
      </c>
      <c r="H39" s="116">
        <v>7</v>
      </c>
      <c r="I39" s="116">
        <v>6.5</v>
      </c>
      <c r="J39" s="116">
        <v>7</v>
      </c>
      <c r="K39" s="116">
        <v>5</v>
      </c>
      <c r="L39" s="116">
        <v>7</v>
      </c>
      <c r="M39" s="81"/>
      <c r="N39" s="82">
        <f t="shared" si="1"/>
        <v>12.299999999999999</v>
      </c>
      <c r="O39" s="82">
        <f>IF(N39="","",N39+O38)</f>
        <v>32.450000000000003</v>
      </c>
    </row>
    <row r="40" spans="1:15" x14ac:dyDescent="0.25">
      <c r="A40" s="103"/>
      <c r="B40" s="110"/>
      <c r="C40" s="112"/>
      <c r="D40" s="80">
        <v>3</v>
      </c>
      <c r="E40" s="114" t="s">
        <v>96</v>
      </c>
      <c r="F40" s="82" t="str">
        <f>IF($E40="","",IF(ISNA(VLOOKUP($E40,DD!$A$2:$C$150,2,0)),"NO SUCH DIVE",VLOOKUP($E40,DD!$A$2:$C$150,2,0)))</f>
        <v>Inward dive tuck</v>
      </c>
      <c r="G40" s="80">
        <f>IF($E40="","",IF(ISNA(VLOOKUP($E40,DD!$A$2:$C$150,3,0)),"",VLOOKUP($E40,DD!$A$2:$C$150,3,0)))</f>
        <v>1.5</v>
      </c>
      <c r="H40" s="116">
        <v>4</v>
      </c>
      <c r="I40" s="116">
        <v>5</v>
      </c>
      <c r="J40" s="116">
        <v>4.5</v>
      </c>
      <c r="K40" s="116">
        <v>5</v>
      </c>
      <c r="L40" s="116">
        <v>5</v>
      </c>
      <c r="M40" s="81"/>
      <c r="N40" s="82">
        <f t="shared" si="1"/>
        <v>21.75</v>
      </c>
      <c r="O40" s="82">
        <f>IF(N40="","",N40+O39)</f>
        <v>54.2</v>
      </c>
    </row>
    <row r="41" spans="1:15" x14ac:dyDescent="0.25">
      <c r="A41" s="103"/>
      <c r="B41" s="110"/>
      <c r="C41" s="112"/>
      <c r="D41" s="80">
        <v>4</v>
      </c>
      <c r="E41" s="114" t="s">
        <v>115</v>
      </c>
      <c r="F41" s="82" t="str">
        <f>IF($E41="","",IF(ISNA(VLOOKUP($E41,DD!$A$2:$C$150,2,0)),"NO SUCH DIVE",VLOOKUP($E41,DD!$A$2:$C$150,2,0)))</f>
        <v>Back dive layout</v>
      </c>
      <c r="G41" s="80">
        <f>IF($E41="","",IF(ISNA(VLOOKUP($E41,DD!$A$2:$C$150,3,0)),"",VLOOKUP($E41,DD!$A$2:$C$150,3,0)))</f>
        <v>1.4</v>
      </c>
      <c r="H41" s="116">
        <v>5</v>
      </c>
      <c r="I41" s="116">
        <v>5</v>
      </c>
      <c r="J41" s="116">
        <v>5</v>
      </c>
      <c r="K41" s="116">
        <v>4.5</v>
      </c>
      <c r="L41" s="116">
        <v>4</v>
      </c>
      <c r="M41" s="81"/>
      <c r="N41" s="82">
        <f t="shared" si="1"/>
        <v>20.299999999999997</v>
      </c>
      <c r="O41" s="85">
        <f>IF(N41="",0,N41+O40)</f>
        <v>74.5</v>
      </c>
    </row>
    <row r="42" spans="1:15" x14ac:dyDescent="0.25">
      <c r="A42" s="97">
        <v>11</v>
      </c>
      <c r="B42" s="109" t="s">
        <v>419</v>
      </c>
      <c r="C42" s="111" t="s">
        <v>52</v>
      </c>
      <c r="D42" s="46">
        <v>1</v>
      </c>
      <c r="E42" s="113" t="s">
        <v>64</v>
      </c>
      <c r="F42" s="45" t="str">
        <f>IF($E42="","",IF(ISNA(VLOOKUP($E42,DD!$A$2:$C$150,2,0)),"NO SUCH DIVE",VLOOKUP($E42,DD!$A$2:$C$150,2,0)))</f>
        <v>Back dive ½ twist layout</v>
      </c>
      <c r="G42" s="51">
        <f>IF($E42="","",IF(ISNA(VLOOKUP($E42,DD!$A$2:$C$150,3,0)),"",VLOOKUP($E42,DD!$A$2:$C$150,3,0)))</f>
        <v>1.4</v>
      </c>
      <c r="H42" s="115">
        <v>4</v>
      </c>
      <c r="I42" s="115">
        <v>4</v>
      </c>
      <c r="J42" s="115">
        <v>4</v>
      </c>
      <c r="K42" s="115">
        <v>4</v>
      </c>
      <c r="L42" s="115">
        <v>4</v>
      </c>
      <c r="M42" s="50"/>
      <c r="N42" s="45">
        <f t="shared" si="1"/>
        <v>16.799999999999997</v>
      </c>
      <c r="O42" s="45">
        <f>IF(N42="","",N42)</f>
        <v>16.799999999999997</v>
      </c>
    </row>
    <row r="43" spans="1:15" x14ac:dyDescent="0.25">
      <c r="A43" s="97"/>
      <c r="B43" s="109"/>
      <c r="C43" s="111"/>
      <c r="D43" s="46">
        <v>2</v>
      </c>
      <c r="E43" s="113" t="s">
        <v>155</v>
      </c>
      <c r="F43" s="45" t="str">
        <f>IF($E43="","",IF(ISNA(VLOOKUP($E43,DD!$A$2:$C$150,2,0)),"NO SUCH DIVE",VLOOKUP($E43,DD!$A$2:$C$150,2,0)))</f>
        <v>Front  1 ½ somersault tuck</v>
      </c>
      <c r="G43" s="51">
        <f>IF($E43="","",IF(ISNA(VLOOKUP($E43,DD!$A$2:$C$150,3,0)),"",VLOOKUP($E43,DD!$A$2:$C$150,3,0)))</f>
        <v>1.6</v>
      </c>
      <c r="H43" s="115">
        <v>6</v>
      </c>
      <c r="I43" s="115">
        <v>6</v>
      </c>
      <c r="J43" s="115">
        <v>5.5</v>
      </c>
      <c r="K43" s="115">
        <v>5.5</v>
      </c>
      <c r="L43" s="115">
        <v>5.5</v>
      </c>
      <c r="M43" s="50"/>
      <c r="N43" s="45">
        <f t="shared" si="1"/>
        <v>27.200000000000003</v>
      </c>
      <c r="O43" s="45">
        <f>IF(N43="","",N43+O42)</f>
        <v>44</v>
      </c>
    </row>
    <row r="44" spans="1:15" x14ac:dyDescent="0.25">
      <c r="A44" s="97"/>
      <c r="B44" s="109"/>
      <c r="C44" s="111"/>
      <c r="D44" s="46">
        <v>3</v>
      </c>
      <c r="E44" s="113" t="s">
        <v>112</v>
      </c>
      <c r="F44" s="45" t="str">
        <f>IF($E44="","",IF(ISNA(VLOOKUP($E44,DD!$A$2:$C$150,2,0)),"NO SUCH DIVE",VLOOKUP($E44,DD!$A$2:$C$150,2,0)))</f>
        <v>Back somersault tuck</v>
      </c>
      <c r="G44" s="46">
        <f>IF($E44="","",IF(ISNA(VLOOKUP($E44,DD!$A$2:$C$150,3,0)),"",VLOOKUP($E44,DD!$A$2:$C$150,3,0)))</f>
        <v>1.5</v>
      </c>
      <c r="H44" s="115">
        <v>4.5</v>
      </c>
      <c r="I44" s="115">
        <v>4.5</v>
      </c>
      <c r="J44" s="115">
        <v>4.5</v>
      </c>
      <c r="K44" s="115">
        <v>6</v>
      </c>
      <c r="L44" s="115">
        <v>5</v>
      </c>
      <c r="M44" s="50"/>
      <c r="N44" s="45">
        <f t="shared" si="1"/>
        <v>21</v>
      </c>
      <c r="O44" s="45">
        <f>IF(N44="","",N44+O43)</f>
        <v>65</v>
      </c>
    </row>
    <row r="45" spans="1:15" x14ac:dyDescent="0.25">
      <c r="A45" s="97"/>
      <c r="B45" s="109"/>
      <c r="C45" s="111"/>
      <c r="D45" s="46">
        <v>4</v>
      </c>
      <c r="E45" s="113" t="s">
        <v>96</v>
      </c>
      <c r="F45" s="45" t="str">
        <f>IF($E45="","",IF(ISNA(VLOOKUP($E45,DD!$A$2:$C$150,2,0)),"NO SUCH DIVE",VLOOKUP($E45,DD!$A$2:$C$150,2,0)))</f>
        <v>Inward dive tuck</v>
      </c>
      <c r="G45" s="46">
        <f>IF($E45="","",IF(ISNA(VLOOKUP($E45,DD!$A$2:$C$150,3,0)),"",VLOOKUP($E45,DD!$A$2:$C$150,3,0)))</f>
        <v>1.5</v>
      </c>
      <c r="H45" s="115">
        <v>5</v>
      </c>
      <c r="I45" s="115">
        <v>6</v>
      </c>
      <c r="J45" s="115">
        <v>5.5</v>
      </c>
      <c r="K45" s="115">
        <v>5.5</v>
      </c>
      <c r="L45" s="115">
        <v>5</v>
      </c>
      <c r="M45" s="50"/>
      <c r="N45" s="45">
        <f t="shared" si="1"/>
        <v>24</v>
      </c>
      <c r="O45" s="54">
        <f>IF(N45="",0,N45+O44)</f>
        <v>89</v>
      </c>
    </row>
    <row r="46" spans="1:15" x14ac:dyDescent="0.25">
      <c r="A46" s="103">
        <v>12</v>
      </c>
      <c r="B46" s="110" t="s">
        <v>420</v>
      </c>
      <c r="C46" s="112" t="s">
        <v>4</v>
      </c>
      <c r="D46" s="80">
        <v>1</v>
      </c>
      <c r="E46" s="114" t="s">
        <v>155</v>
      </c>
      <c r="F46" s="82" t="str">
        <f>IF($E46="","",IF(ISNA(VLOOKUP($E46,DD!$A$2:$C$150,2,0)),"NO SUCH DIVE",VLOOKUP($E46,DD!$A$2:$C$150,2,0)))</f>
        <v>Front  1 ½ somersault tuck</v>
      </c>
      <c r="G46" s="83">
        <f>IF($E46="","",IF(ISNA(VLOOKUP($E46,DD!$A$2:$C$150,3,0)),"",VLOOKUP($E46,DD!$A$2:$C$150,3,0)))</f>
        <v>1.6</v>
      </c>
      <c r="H46" s="116">
        <v>7.5</v>
      </c>
      <c r="I46" s="116">
        <v>7</v>
      </c>
      <c r="J46" s="116">
        <v>7.5</v>
      </c>
      <c r="K46" s="116">
        <v>6</v>
      </c>
      <c r="L46" s="116">
        <v>7</v>
      </c>
      <c r="M46" s="81"/>
      <c r="N46" s="82">
        <f t="shared" si="1"/>
        <v>34.4</v>
      </c>
      <c r="O46" s="82">
        <f>IF(N46="","",N46)</f>
        <v>34.4</v>
      </c>
    </row>
    <row r="47" spans="1:15" x14ac:dyDescent="0.25">
      <c r="A47" s="103"/>
      <c r="B47" s="110"/>
      <c r="C47" s="112"/>
      <c r="D47" s="80">
        <v>2</v>
      </c>
      <c r="E47" s="114" t="s">
        <v>161</v>
      </c>
      <c r="F47" s="82" t="str">
        <f>IF($E47="","",IF(ISNA(VLOOKUP($E47,DD!$A$2:$C$150,2,0)),"NO SUCH DIVE",VLOOKUP($E47,DD!$A$2:$C$150,2,0)))</f>
        <v>Inward dive pike</v>
      </c>
      <c r="G47" s="83">
        <f>IF($E47="","",IF(ISNA(VLOOKUP($E47,DD!$A$2:$C$150,3,0)),"",VLOOKUP($E47,DD!$A$2:$C$150,3,0)))</f>
        <v>1.5</v>
      </c>
      <c r="H47" s="116">
        <v>7.5</v>
      </c>
      <c r="I47" s="116">
        <v>7</v>
      </c>
      <c r="J47" s="116">
        <v>6.5</v>
      </c>
      <c r="K47" s="116">
        <v>6.5</v>
      </c>
      <c r="L47" s="116">
        <v>6.5</v>
      </c>
      <c r="M47" s="81"/>
      <c r="N47" s="82">
        <f t="shared" si="1"/>
        <v>30</v>
      </c>
      <c r="O47" s="82">
        <f>IF(N47="","",N47+O46)</f>
        <v>64.400000000000006</v>
      </c>
    </row>
    <row r="48" spans="1:15" x14ac:dyDescent="0.25">
      <c r="A48" s="103"/>
      <c r="B48" s="110"/>
      <c r="C48" s="112"/>
      <c r="D48" s="80">
        <v>3</v>
      </c>
      <c r="E48" s="114" t="s">
        <v>146</v>
      </c>
      <c r="F48" s="82" t="str">
        <f>IF($E48="","",IF(ISNA(VLOOKUP($E48,DD!$A$2:$C$150,2,0)),"NO SUCH DIVE",VLOOKUP($E48,DD!$A$2:$C$150,2,0)))</f>
        <v>Back somersault layout</v>
      </c>
      <c r="G48" s="80">
        <f>IF($E48="","",IF(ISNA(VLOOKUP($E48,DD!$A$2:$C$150,3,0)),"",VLOOKUP($E48,DD!$A$2:$C$150,3,0)))</f>
        <v>1.7</v>
      </c>
      <c r="H48" s="116">
        <v>6</v>
      </c>
      <c r="I48" s="116">
        <v>6</v>
      </c>
      <c r="J48" s="116">
        <v>6.5</v>
      </c>
      <c r="K48" s="116">
        <v>6</v>
      </c>
      <c r="L48" s="116">
        <v>6</v>
      </c>
      <c r="M48" s="81"/>
      <c r="N48" s="82">
        <f t="shared" si="1"/>
        <v>30.599999999999998</v>
      </c>
      <c r="O48" s="82">
        <f>IF(N48="","",N48+O47)</f>
        <v>95</v>
      </c>
    </row>
    <row r="49" spans="1:15" x14ac:dyDescent="0.25">
      <c r="A49" s="103"/>
      <c r="B49" s="110"/>
      <c r="C49" s="112"/>
      <c r="D49" s="80">
        <v>4</v>
      </c>
      <c r="E49" s="114" t="s">
        <v>426</v>
      </c>
      <c r="F49" s="82" t="str">
        <f>IF($E49="","",IF(ISNA(VLOOKUP($E49,DD!$A$2:$C$150,2,0)),"NO SUCH DIVE",VLOOKUP($E49,DD!$A$2:$C$150,2,0)))</f>
        <v>Front double somersault tuck</v>
      </c>
      <c r="G49" s="80">
        <f>IF($E49="","",IF(ISNA(VLOOKUP($E49,DD!$A$2:$C$150,3,0)),"",VLOOKUP($E49,DD!$A$2:$C$150,3,0)))</f>
        <v>2.2000000000000002</v>
      </c>
      <c r="H49" s="116">
        <v>6</v>
      </c>
      <c r="I49" s="116">
        <v>7</v>
      </c>
      <c r="J49" s="116">
        <v>6.5</v>
      </c>
      <c r="K49" s="116">
        <v>6</v>
      </c>
      <c r="L49" s="116">
        <v>6.5</v>
      </c>
      <c r="M49" s="81"/>
      <c r="N49" s="82">
        <f t="shared" si="1"/>
        <v>41.800000000000004</v>
      </c>
      <c r="O49" s="85">
        <f>IF(N49="",0,N49+O48)</f>
        <v>136.80000000000001</v>
      </c>
    </row>
    <row r="50" spans="1:15" x14ac:dyDescent="0.25">
      <c r="A50" s="97">
        <v>13</v>
      </c>
      <c r="B50" s="109" t="s">
        <v>421</v>
      </c>
      <c r="C50" s="111" t="s">
        <v>57</v>
      </c>
      <c r="D50" s="46">
        <v>1</v>
      </c>
      <c r="E50" s="113" t="s">
        <v>89</v>
      </c>
      <c r="F50" s="45" t="str">
        <f>IF($E50="","",IF(ISNA(VLOOKUP($E50,DD!$A$2:$C$150,2,0)),"NO SUCH DIVE",VLOOKUP($E50,DD!$A$2:$C$150,2,0)))</f>
        <v>Front dive tuck</v>
      </c>
      <c r="G50" s="51">
        <f>IF($E50="","",IF(ISNA(VLOOKUP($E50,DD!$A$2:$C$150,3,0)),"",VLOOKUP($E50,DD!$A$2:$C$150,3,0)))</f>
        <v>1.3</v>
      </c>
      <c r="H50" s="115">
        <v>6.5</v>
      </c>
      <c r="I50" s="115">
        <v>6</v>
      </c>
      <c r="J50" s="115">
        <v>6</v>
      </c>
      <c r="K50" s="115">
        <v>6</v>
      </c>
      <c r="L50" s="115">
        <v>6.5</v>
      </c>
      <c r="M50" s="50"/>
      <c r="N50" s="45">
        <f t="shared" si="1"/>
        <v>24.05</v>
      </c>
      <c r="O50" s="45">
        <f>IF(N50="","",N50)</f>
        <v>24.05</v>
      </c>
    </row>
    <row r="51" spans="1:15" x14ac:dyDescent="0.25">
      <c r="A51" s="97"/>
      <c r="B51" s="109"/>
      <c r="C51" s="111"/>
      <c r="D51" s="46">
        <v>2</v>
      </c>
      <c r="E51" s="113" t="s">
        <v>64</v>
      </c>
      <c r="F51" s="45" t="str">
        <f>IF($E51="","",IF(ISNA(VLOOKUP($E51,DD!$A$2:$C$150,2,0)),"NO SUCH DIVE",VLOOKUP($E51,DD!$A$2:$C$150,2,0)))</f>
        <v>Back dive ½ twist layout</v>
      </c>
      <c r="G51" s="51">
        <f>IF($E51="","",IF(ISNA(VLOOKUP($E51,DD!$A$2:$C$150,3,0)),"",VLOOKUP($E51,DD!$A$2:$C$150,3,0)))</f>
        <v>1.4</v>
      </c>
      <c r="H51" s="115">
        <v>5</v>
      </c>
      <c r="I51" s="115">
        <v>5</v>
      </c>
      <c r="J51" s="115">
        <v>5</v>
      </c>
      <c r="K51" s="115">
        <v>5</v>
      </c>
      <c r="L51" s="115">
        <v>4.5</v>
      </c>
      <c r="M51" s="50"/>
      <c r="N51" s="45">
        <f t="shared" si="1"/>
        <v>21</v>
      </c>
      <c r="O51" s="45">
        <f>IF(N51="","",N51+O50)</f>
        <v>45.05</v>
      </c>
    </row>
    <row r="52" spans="1:15" x14ac:dyDescent="0.25">
      <c r="A52" s="97"/>
      <c r="B52" s="109"/>
      <c r="C52" s="111"/>
      <c r="D52" s="46">
        <v>3</v>
      </c>
      <c r="E52" s="113" t="s">
        <v>58</v>
      </c>
      <c r="F52" s="45" t="str">
        <f>IF($E52="","",IF(ISNA(VLOOKUP($E52,DD!$A$2:$C$150,2,0)),"NO SUCH DIVE",VLOOKUP($E52,DD!$A$2:$C$150,2,0)))</f>
        <v>Back dive layout</v>
      </c>
      <c r="G52" s="46">
        <f>IF($E52="","",IF(ISNA(VLOOKUP($E52,DD!$A$2:$C$150,3,0)),"",VLOOKUP($E52,DD!$A$2:$C$150,3,0)))</f>
        <v>1.4</v>
      </c>
      <c r="H52" s="115">
        <v>5</v>
      </c>
      <c r="I52" s="115">
        <v>4</v>
      </c>
      <c r="J52" s="115">
        <v>4.5</v>
      </c>
      <c r="K52" s="115">
        <v>4</v>
      </c>
      <c r="L52" s="115">
        <v>4</v>
      </c>
      <c r="M52" s="50"/>
      <c r="N52" s="45">
        <f t="shared" si="1"/>
        <v>17.5</v>
      </c>
      <c r="O52" s="45">
        <f>IF(N52="","",N52+O51)</f>
        <v>62.55</v>
      </c>
    </row>
    <row r="53" spans="1:15" x14ac:dyDescent="0.25">
      <c r="A53" s="97"/>
      <c r="B53" s="109"/>
      <c r="C53" s="111"/>
      <c r="D53" s="46">
        <v>4</v>
      </c>
      <c r="E53" s="113" t="s">
        <v>72</v>
      </c>
      <c r="F53" s="45" t="str">
        <f>IF($E53="","",IF(ISNA(VLOOKUP($E53,DD!$A$2:$C$150,2,0)),"NO SUCH DIVE",VLOOKUP($E53,DD!$A$2:$C$150,2,0)))</f>
        <v>Front somersault tuck</v>
      </c>
      <c r="G53" s="46">
        <f>IF($E53="","",IF(ISNA(VLOOKUP($E53,DD!$A$2:$C$150,3,0)),"",VLOOKUP($E53,DD!$A$2:$C$150,3,0)))</f>
        <v>1.4</v>
      </c>
      <c r="H53" s="115">
        <v>4.5</v>
      </c>
      <c r="I53" s="115">
        <v>3.5</v>
      </c>
      <c r="J53" s="115">
        <v>4</v>
      </c>
      <c r="K53" s="115">
        <v>3.5</v>
      </c>
      <c r="L53" s="115">
        <v>4</v>
      </c>
      <c r="M53" s="50"/>
      <c r="N53" s="45">
        <f t="shared" si="1"/>
        <v>16.099999999999998</v>
      </c>
      <c r="O53" s="54">
        <f>IF(N53="",0,N53+O52)</f>
        <v>78.649999999999991</v>
      </c>
    </row>
    <row r="54" spans="1:15" x14ac:dyDescent="0.25">
      <c r="A54" s="103">
        <v>14</v>
      </c>
      <c r="B54" s="110" t="s">
        <v>422</v>
      </c>
      <c r="C54" s="112" t="s">
        <v>49</v>
      </c>
      <c r="D54" s="80">
        <v>1</v>
      </c>
      <c r="E54" s="114" t="s">
        <v>116</v>
      </c>
      <c r="F54" s="82" t="str">
        <f>IF($E54="","",IF(ISNA(VLOOKUP($E54,DD!$A$2:$C$150,2,0)),"NO SUCH DIVE",VLOOKUP($E54,DD!$A$2:$C$150,2,0)))</f>
        <v>Front dive layout</v>
      </c>
      <c r="G54" s="83">
        <f>IF($E54="","",IF(ISNA(VLOOKUP($E54,DD!$A$2:$C$150,3,0)),"",VLOOKUP($E54,DD!$A$2:$C$150,3,0)))</f>
        <v>1.3</v>
      </c>
      <c r="H54" s="116">
        <v>6.5</v>
      </c>
      <c r="I54" s="116">
        <v>7</v>
      </c>
      <c r="J54" s="116">
        <v>6.5</v>
      </c>
      <c r="K54" s="116">
        <v>7.5</v>
      </c>
      <c r="L54" s="116">
        <v>7</v>
      </c>
      <c r="M54" s="81"/>
      <c r="N54" s="82">
        <f t="shared" si="1"/>
        <v>26.650000000000002</v>
      </c>
      <c r="O54" s="82">
        <f>IF(N54="","",N54)</f>
        <v>26.650000000000002</v>
      </c>
    </row>
    <row r="55" spans="1:15" x14ac:dyDescent="0.25">
      <c r="A55" s="103"/>
      <c r="B55" s="110"/>
      <c r="C55" s="112"/>
      <c r="D55" s="80">
        <v>2</v>
      </c>
      <c r="E55" s="114" t="s">
        <v>115</v>
      </c>
      <c r="F55" s="82" t="str">
        <f>IF($E55="","",IF(ISNA(VLOOKUP($E55,DD!$A$2:$C$150,2,0)),"NO SUCH DIVE",VLOOKUP($E55,DD!$A$2:$C$150,2,0)))</f>
        <v>Back dive layout</v>
      </c>
      <c r="G55" s="83">
        <f>IF($E55="","",IF(ISNA(VLOOKUP($E55,DD!$A$2:$C$150,3,0)),"",VLOOKUP($E55,DD!$A$2:$C$150,3,0)))</f>
        <v>1.4</v>
      </c>
      <c r="H55" s="116">
        <v>5</v>
      </c>
      <c r="I55" s="116">
        <v>5</v>
      </c>
      <c r="J55" s="116">
        <v>5</v>
      </c>
      <c r="K55" s="116">
        <v>5.5</v>
      </c>
      <c r="L55" s="116">
        <v>5.5</v>
      </c>
      <c r="M55" s="81"/>
      <c r="N55" s="82">
        <f t="shared" si="1"/>
        <v>21.7</v>
      </c>
      <c r="O55" s="82">
        <f>IF(N55="","",N55+O54)</f>
        <v>48.35</v>
      </c>
    </row>
    <row r="56" spans="1:15" x14ac:dyDescent="0.25">
      <c r="A56" s="103"/>
      <c r="B56" s="110"/>
      <c r="C56" s="112"/>
      <c r="D56" s="80">
        <v>3</v>
      </c>
      <c r="E56" s="114" t="s">
        <v>133</v>
      </c>
      <c r="F56" s="82" t="str">
        <f>IF($E56="","",IF(ISNA(VLOOKUP($E56,DD!$A$2:$C$150,2,0)),"NO SUCH DIVE",VLOOKUP($E56,DD!$A$2:$C$150,2,0)))</f>
        <v>Front somersault tuck</v>
      </c>
      <c r="G56" s="80">
        <f>IF($E56="","",IF(ISNA(VLOOKUP($E56,DD!$A$2:$C$150,3,0)),"",VLOOKUP($E56,DD!$A$2:$C$150,3,0)))</f>
        <v>1.4</v>
      </c>
      <c r="H56" s="116">
        <v>5</v>
      </c>
      <c r="I56" s="116">
        <v>5</v>
      </c>
      <c r="J56" s="116">
        <v>5</v>
      </c>
      <c r="K56" s="116">
        <v>4.5</v>
      </c>
      <c r="L56" s="116">
        <v>5</v>
      </c>
      <c r="M56" s="81"/>
      <c r="N56" s="82">
        <f t="shared" si="1"/>
        <v>21</v>
      </c>
      <c r="O56" s="82">
        <f>IF(N56="","",N56+O55)</f>
        <v>69.349999999999994</v>
      </c>
    </row>
    <row r="57" spans="1:15" x14ac:dyDescent="0.25">
      <c r="A57" s="103"/>
      <c r="B57" s="110"/>
      <c r="C57" s="112"/>
      <c r="D57" s="80">
        <v>4</v>
      </c>
      <c r="E57" s="114" t="s">
        <v>123</v>
      </c>
      <c r="F57" s="82" t="str">
        <f>IF($E57="","",IF(ISNA(VLOOKUP($E57,DD!$A$2:$C$150,2,0)),"NO SUCH DIVE",VLOOKUP($E57,DD!$A$2:$C$150,2,0)))</f>
        <v>Inward dive tuck</v>
      </c>
      <c r="G57" s="80">
        <f>IF($E57="","",IF(ISNA(VLOOKUP($E57,DD!$A$2:$C$150,3,0)),"",VLOOKUP($E57,DD!$A$2:$C$150,3,0)))</f>
        <v>1.5</v>
      </c>
      <c r="H57" s="116">
        <v>5</v>
      </c>
      <c r="I57" s="116">
        <v>5</v>
      </c>
      <c r="J57" s="116">
        <v>5.5</v>
      </c>
      <c r="K57" s="116">
        <v>5.5</v>
      </c>
      <c r="L57" s="116">
        <v>5.5</v>
      </c>
      <c r="M57" s="81"/>
      <c r="N57" s="82">
        <f t="shared" si="1"/>
        <v>24</v>
      </c>
      <c r="O57" s="85">
        <f>IF(N57="",0,N57+O56)</f>
        <v>93.35</v>
      </c>
    </row>
    <row r="58" spans="1:15" x14ac:dyDescent="0.25">
      <c r="A58" s="97">
        <v>15</v>
      </c>
      <c r="B58" s="109" t="s">
        <v>423</v>
      </c>
      <c r="C58" s="111" t="s">
        <v>52</v>
      </c>
      <c r="D58" s="46">
        <v>1</v>
      </c>
      <c r="E58" s="113" t="s">
        <v>89</v>
      </c>
      <c r="F58" s="45" t="str">
        <f>IF($E58="","",IF(ISNA(VLOOKUP($E58,DD!$A$2:$C$150,2,0)),"NO SUCH DIVE",VLOOKUP($E58,DD!$A$2:$C$150,2,0)))</f>
        <v>Front dive tuck</v>
      </c>
      <c r="G58" s="51">
        <f>IF($E58="","",IF(ISNA(VLOOKUP($E58,DD!$A$2:$C$150,3,0)),"",VLOOKUP($E58,DD!$A$2:$C$150,3,0)))</f>
        <v>1.3</v>
      </c>
      <c r="H58" s="115">
        <v>5.5</v>
      </c>
      <c r="I58" s="115">
        <v>5</v>
      </c>
      <c r="J58" s="115">
        <v>5.5</v>
      </c>
      <c r="K58" s="115">
        <v>6</v>
      </c>
      <c r="L58" s="115">
        <v>5.5</v>
      </c>
      <c r="M58" s="50"/>
      <c r="N58" s="45">
        <f t="shared" si="1"/>
        <v>21.45</v>
      </c>
      <c r="O58" s="45">
        <f>IF(N58="","",N58)</f>
        <v>21.45</v>
      </c>
    </row>
    <row r="59" spans="1:15" x14ac:dyDescent="0.25">
      <c r="A59" s="97"/>
      <c r="B59" s="109"/>
      <c r="C59" s="111"/>
      <c r="D59" s="46">
        <v>2</v>
      </c>
      <c r="E59" s="113" t="s">
        <v>58</v>
      </c>
      <c r="F59" s="45" t="str">
        <f>IF($E59="","",IF(ISNA(VLOOKUP($E59,DD!$A$2:$C$150,2,0)),"NO SUCH DIVE",VLOOKUP($E59,DD!$A$2:$C$150,2,0)))</f>
        <v>Back dive layout</v>
      </c>
      <c r="G59" s="51">
        <f>IF($E59="","",IF(ISNA(VLOOKUP($E59,DD!$A$2:$C$150,3,0)),"",VLOOKUP($E59,DD!$A$2:$C$150,3,0)))</f>
        <v>1.4</v>
      </c>
      <c r="H59" s="115">
        <v>4.5</v>
      </c>
      <c r="I59" s="115">
        <v>4.5</v>
      </c>
      <c r="J59" s="115">
        <v>4.5</v>
      </c>
      <c r="K59" s="115">
        <v>4.5</v>
      </c>
      <c r="L59" s="115">
        <v>4.5</v>
      </c>
      <c r="M59" s="50"/>
      <c r="N59" s="45">
        <f t="shared" si="1"/>
        <v>18.899999999999999</v>
      </c>
      <c r="O59" s="45">
        <f>IF(N59="","",N59+O58)</f>
        <v>40.349999999999994</v>
      </c>
    </row>
    <row r="60" spans="1:15" x14ac:dyDescent="0.25">
      <c r="A60" s="97"/>
      <c r="B60" s="109"/>
      <c r="C60" s="111"/>
      <c r="D60" s="46">
        <v>3</v>
      </c>
      <c r="E60" s="113" t="s">
        <v>64</v>
      </c>
      <c r="F60" s="45" t="str">
        <f>IF($E60="","",IF(ISNA(VLOOKUP($E60,DD!$A$2:$C$150,2,0)),"NO SUCH DIVE",VLOOKUP($E60,DD!$A$2:$C$150,2,0)))</f>
        <v>Back dive ½ twist layout</v>
      </c>
      <c r="G60" s="46">
        <f>IF($E60="","",IF(ISNA(VLOOKUP($E60,DD!$A$2:$C$150,3,0)),"",VLOOKUP($E60,DD!$A$2:$C$150,3,0)))</f>
        <v>1.4</v>
      </c>
      <c r="H60" s="115">
        <v>3.5</v>
      </c>
      <c r="I60" s="115">
        <v>3.5</v>
      </c>
      <c r="J60" s="115">
        <v>4</v>
      </c>
      <c r="K60" s="115">
        <v>4</v>
      </c>
      <c r="L60" s="115">
        <v>3.5</v>
      </c>
      <c r="M60" s="50"/>
      <c r="N60" s="45">
        <f t="shared" si="1"/>
        <v>15.399999999999999</v>
      </c>
      <c r="O60" s="45">
        <f>IF(N60="","",N60+O59)</f>
        <v>55.749999999999993</v>
      </c>
    </row>
    <row r="61" spans="1:15" x14ac:dyDescent="0.25">
      <c r="A61" s="97"/>
      <c r="B61" s="109"/>
      <c r="C61" s="111"/>
      <c r="D61" s="46">
        <v>4</v>
      </c>
      <c r="E61" s="113" t="s">
        <v>155</v>
      </c>
      <c r="F61" s="45" t="str">
        <f>IF($E61="","",IF(ISNA(VLOOKUP($E61,DD!$A$2:$C$150,2,0)),"NO SUCH DIVE",VLOOKUP($E61,DD!$A$2:$C$150,2,0)))</f>
        <v>Front  1 ½ somersault tuck</v>
      </c>
      <c r="G61" s="46">
        <f>IF($E61="","",IF(ISNA(VLOOKUP($E61,DD!$A$2:$C$150,3,0)),"",VLOOKUP($E61,DD!$A$2:$C$150,3,0)))</f>
        <v>1.6</v>
      </c>
      <c r="H61" s="115">
        <v>5.5</v>
      </c>
      <c r="I61" s="115">
        <v>5</v>
      </c>
      <c r="J61" s="115">
        <v>5.5</v>
      </c>
      <c r="K61" s="115">
        <v>6</v>
      </c>
      <c r="L61" s="115">
        <v>5.5</v>
      </c>
      <c r="M61" s="50"/>
      <c r="N61" s="45">
        <f t="shared" si="1"/>
        <v>26.400000000000002</v>
      </c>
      <c r="O61" s="54">
        <f>IF(N61="",0,N61+O60)</f>
        <v>82.149999999999991</v>
      </c>
    </row>
    <row r="62" spans="1:15" x14ac:dyDescent="0.25">
      <c r="A62" s="103">
        <v>16</v>
      </c>
      <c r="B62" s="110" t="s">
        <v>424</v>
      </c>
      <c r="C62" s="112" t="s">
        <v>49</v>
      </c>
      <c r="D62" s="80">
        <v>1</v>
      </c>
      <c r="E62" s="114" t="s">
        <v>89</v>
      </c>
      <c r="F62" s="82" t="str">
        <f>IF($E62="","",IF(ISNA(VLOOKUP($E62,DD!$A$2:$C$150,2,0)),"NO SUCH DIVE",VLOOKUP($E62,DD!$A$2:$C$150,2,0)))</f>
        <v>Front dive tuck</v>
      </c>
      <c r="G62" s="83">
        <f>IF($E62="","",IF(ISNA(VLOOKUP($E62,DD!$A$2:$C$150,3,0)),"",VLOOKUP($E62,DD!$A$2:$C$150,3,0)))</f>
        <v>1.3</v>
      </c>
      <c r="H62" s="116">
        <v>6.5</v>
      </c>
      <c r="I62" s="116">
        <v>6.5</v>
      </c>
      <c r="J62" s="116">
        <v>6.5</v>
      </c>
      <c r="K62" s="116">
        <v>5.5</v>
      </c>
      <c r="L62" s="116">
        <v>6.5</v>
      </c>
      <c r="M62" s="81"/>
      <c r="N62" s="82">
        <f t="shared" si="1"/>
        <v>25.35</v>
      </c>
      <c r="O62" s="82">
        <f>IF(N62="","",N62)</f>
        <v>25.35</v>
      </c>
    </row>
    <row r="63" spans="1:15" x14ac:dyDescent="0.25">
      <c r="A63" s="103"/>
      <c r="B63" s="110"/>
      <c r="C63" s="112"/>
      <c r="D63" s="80">
        <v>2</v>
      </c>
      <c r="E63" s="114" t="s">
        <v>111</v>
      </c>
      <c r="F63" s="82" t="str">
        <f>IF($E63="","",IF(ISNA(VLOOKUP($E63,DD!$A$2:$C$150,2,0)),"NO SUCH DIVE",VLOOKUP($E63,DD!$A$2:$C$150,2,0)))</f>
        <v>Back dive tuck</v>
      </c>
      <c r="G63" s="83">
        <f>IF($E63="","",IF(ISNA(VLOOKUP($E63,DD!$A$2:$C$150,3,0)),"",VLOOKUP($E63,DD!$A$2:$C$150,3,0)))</f>
        <v>1.6</v>
      </c>
      <c r="H63" s="116">
        <v>5.5</v>
      </c>
      <c r="I63" s="116">
        <v>6</v>
      </c>
      <c r="J63" s="116">
        <v>5.5</v>
      </c>
      <c r="K63" s="116">
        <v>5.5</v>
      </c>
      <c r="L63" s="116">
        <v>6</v>
      </c>
      <c r="M63" s="81"/>
      <c r="N63" s="82">
        <f t="shared" si="1"/>
        <v>27.200000000000003</v>
      </c>
      <c r="O63" s="82">
        <f>IF(N63="","",N63+O62)</f>
        <v>52.550000000000004</v>
      </c>
    </row>
    <row r="64" spans="1:15" x14ac:dyDescent="0.25">
      <c r="A64" s="103"/>
      <c r="B64" s="110"/>
      <c r="C64" s="112"/>
      <c r="D64" s="80">
        <v>3</v>
      </c>
      <c r="E64" s="114" t="s">
        <v>96</v>
      </c>
      <c r="F64" s="82" t="str">
        <f>IF($E64="","",IF(ISNA(VLOOKUP($E64,DD!$A$2:$C$150,2,0)),"NO SUCH DIVE",VLOOKUP($E64,DD!$A$2:$C$150,2,0)))</f>
        <v>Inward dive tuck</v>
      </c>
      <c r="G64" s="80">
        <f>IF($E64="","",IF(ISNA(VLOOKUP($E64,DD!$A$2:$C$150,3,0)),"",VLOOKUP($E64,DD!$A$2:$C$150,3,0)))</f>
        <v>1.5</v>
      </c>
      <c r="H64" s="116">
        <v>5</v>
      </c>
      <c r="I64" s="116">
        <v>5.5</v>
      </c>
      <c r="J64" s="116">
        <v>5.5</v>
      </c>
      <c r="K64" s="116">
        <v>6</v>
      </c>
      <c r="L64" s="116">
        <v>6</v>
      </c>
      <c r="M64" s="81"/>
      <c r="N64" s="82">
        <f t="shared" si="1"/>
        <v>25.5</v>
      </c>
      <c r="O64" s="82">
        <f>IF(N64="","",N64+O63)</f>
        <v>78.050000000000011</v>
      </c>
    </row>
    <row r="65" spans="1:15" x14ac:dyDescent="0.25">
      <c r="A65" s="103"/>
      <c r="B65" s="110"/>
      <c r="C65" s="112"/>
      <c r="D65" s="80">
        <v>4</v>
      </c>
      <c r="E65" s="114" t="s">
        <v>64</v>
      </c>
      <c r="F65" s="82" t="str">
        <f>IF($E65="","",IF(ISNA(VLOOKUP($E65,DD!$A$2:$C$150,2,0)),"NO SUCH DIVE",VLOOKUP($E65,DD!$A$2:$C$150,2,0)))</f>
        <v>Back dive ½ twist layout</v>
      </c>
      <c r="G65" s="80">
        <f>IF($E65="","",IF(ISNA(VLOOKUP($E65,DD!$A$2:$C$150,3,0)),"",VLOOKUP($E65,DD!$A$2:$C$150,3,0)))</f>
        <v>1.4</v>
      </c>
      <c r="H65" s="116">
        <v>4.5</v>
      </c>
      <c r="I65" s="116">
        <v>5</v>
      </c>
      <c r="J65" s="116">
        <v>4.5</v>
      </c>
      <c r="K65" s="116">
        <v>5</v>
      </c>
      <c r="L65" s="116">
        <v>4.5</v>
      </c>
      <c r="M65" s="81"/>
      <c r="N65" s="82">
        <f t="shared" si="1"/>
        <v>19.599999999999998</v>
      </c>
      <c r="O65" s="85">
        <f>IF(N65="",0,N65+O64)</f>
        <v>97.65</v>
      </c>
    </row>
    <row r="66" spans="1:15" x14ac:dyDescent="0.25">
      <c r="A66" s="97">
        <v>17</v>
      </c>
      <c r="B66" s="107"/>
      <c r="C66" s="106"/>
      <c r="D66" s="46">
        <v>1</v>
      </c>
      <c r="E66" s="50"/>
      <c r="F66" s="45" t="str">
        <f>IF($E66="","",IF(ISNA(VLOOKUP($E66,DD!$A$2:$C$150,2,0)),"NO SUCH DIVE",VLOOKUP($E66,DD!$A$2:$C$150,2,0)))</f>
        <v/>
      </c>
      <c r="G66" s="51" t="str">
        <f>IF($E66="","",IF(ISNA(VLOOKUP($E66,DD!$A$2:$C$150,3,0)),"",VLOOKUP($E66,DD!$A$2:$C$150,3,0)))</f>
        <v/>
      </c>
      <c r="H66" s="52"/>
      <c r="I66" s="52"/>
      <c r="J66" s="52"/>
      <c r="K66" s="52"/>
      <c r="L66" s="52"/>
      <c r="M66" s="50"/>
      <c r="N66" s="45" t="str">
        <f t="shared" ref="N66:N97" si="2">IF(G66="","",IF(COUNT(H66:L66)=3,IF(M66&lt;&gt;"",(SUM(H66:J66)-6)*G66,SUM(H66:J66)*G66),IF(M66&lt;&gt;"",(SUM(H66:L66)-MAX(H66:L66)-MIN(H66:L66)-6)*G66,(SUM(H66:L66)-MAX(H66:L66)-MIN(H66:L66))*G66)))</f>
        <v/>
      </c>
      <c r="O66" s="45" t="str">
        <f>IF(N66="","",N66)</f>
        <v/>
      </c>
    </row>
    <row r="67" spans="1:15" x14ac:dyDescent="0.25">
      <c r="A67" s="97"/>
      <c r="B67" s="107"/>
      <c r="C67" s="106"/>
      <c r="D67" s="46">
        <v>2</v>
      </c>
      <c r="E67" s="50"/>
      <c r="F67" s="45" t="str">
        <f>IF($E67="","",IF(ISNA(VLOOKUP($E67,DD!$A$2:$C$150,2,0)),"NO SUCH DIVE",VLOOKUP($E67,DD!$A$2:$C$150,2,0)))</f>
        <v/>
      </c>
      <c r="G67" s="51" t="str">
        <f>IF($E67="","",IF(ISNA(VLOOKUP($E67,DD!$A$2:$C$150,3,0)),"",VLOOKUP($E67,DD!$A$2:$C$150,3,0)))</f>
        <v/>
      </c>
      <c r="H67" s="52"/>
      <c r="I67" s="52"/>
      <c r="J67" s="52"/>
      <c r="K67" s="52"/>
      <c r="L67" s="52"/>
      <c r="M67" s="50"/>
      <c r="N67" s="45" t="str">
        <f t="shared" si="2"/>
        <v/>
      </c>
      <c r="O67" s="45" t="str">
        <f>IF(N67="","",N67+O66)</f>
        <v/>
      </c>
    </row>
    <row r="68" spans="1:15" x14ac:dyDescent="0.25">
      <c r="A68" s="97"/>
      <c r="B68" s="107"/>
      <c r="C68" s="106"/>
      <c r="D68" s="46">
        <v>3</v>
      </c>
      <c r="E68" s="50"/>
      <c r="F68" s="45" t="str">
        <f>IF($E68="","",IF(ISNA(VLOOKUP($E68,DD!$A$2:$C$150,2,0)),"NO SUCH DIVE",VLOOKUP($E68,DD!$A$2:$C$150,2,0)))</f>
        <v/>
      </c>
      <c r="G68" s="46" t="str">
        <f>IF($E68="","",IF(ISNA(VLOOKUP($E68,DD!$A$2:$C$150,3,0)),"",VLOOKUP($E68,DD!$A$2:$C$150,3,0)))</f>
        <v/>
      </c>
      <c r="H68" s="52"/>
      <c r="I68" s="52"/>
      <c r="J68" s="52"/>
      <c r="K68" s="52"/>
      <c r="L68" s="52"/>
      <c r="M68" s="50"/>
      <c r="N68" s="45" t="str">
        <f t="shared" si="2"/>
        <v/>
      </c>
      <c r="O68" s="45" t="str">
        <f>IF(N68="","",N68+O67)</f>
        <v/>
      </c>
    </row>
    <row r="69" spans="1:15" x14ac:dyDescent="0.25">
      <c r="A69" s="97"/>
      <c r="B69" s="107"/>
      <c r="C69" s="106"/>
      <c r="D69" s="46">
        <v>4</v>
      </c>
      <c r="E69" s="50"/>
      <c r="F69" s="45" t="str">
        <f>IF($E69="","",IF(ISNA(VLOOKUP($E69,DD!$A$2:$C$150,2,0)),"NO SUCH DIVE",VLOOKUP($E69,DD!$A$2:$C$150,2,0)))</f>
        <v/>
      </c>
      <c r="G69" s="46" t="str">
        <f>IF($E69="","",IF(ISNA(VLOOKUP($E69,DD!$A$2:$C$150,3,0)),"",VLOOKUP($E69,DD!$A$2:$C$150,3,0)))</f>
        <v/>
      </c>
      <c r="H69" s="52"/>
      <c r="I69" s="52"/>
      <c r="J69" s="52"/>
      <c r="K69" s="52"/>
      <c r="L69" s="52"/>
      <c r="M69" s="50"/>
      <c r="N69" s="45" t="str">
        <f t="shared" si="2"/>
        <v/>
      </c>
      <c r="O69" s="54">
        <f>IF(N69="",0,N69+O68)</f>
        <v>0</v>
      </c>
    </row>
    <row r="70" spans="1:15" x14ac:dyDescent="0.25">
      <c r="A70" s="103">
        <v>18</v>
      </c>
      <c r="B70" s="108"/>
      <c r="C70" s="105"/>
      <c r="D70" s="80">
        <v>1</v>
      </c>
      <c r="E70" s="81"/>
      <c r="F70" s="82" t="str">
        <f>IF($E70="","",IF(ISNA(VLOOKUP($E70,DD!$A$2:$C$150,2,0)),"NO SUCH DIVE",VLOOKUP($E70,DD!$A$2:$C$150,2,0)))</f>
        <v/>
      </c>
      <c r="G70" s="83" t="str">
        <f>IF($E70="","",IF(ISNA(VLOOKUP($E70,DD!$A$2:$C$150,3,0)),"",VLOOKUP($E70,DD!$A$2:$C$150,3,0)))</f>
        <v/>
      </c>
      <c r="H70" s="84"/>
      <c r="I70" s="84"/>
      <c r="J70" s="84"/>
      <c r="K70" s="84"/>
      <c r="L70" s="84"/>
      <c r="M70" s="81"/>
      <c r="N70" s="82" t="str">
        <f t="shared" si="2"/>
        <v/>
      </c>
      <c r="O70" s="82" t="str">
        <f>IF(N70="","",N70)</f>
        <v/>
      </c>
    </row>
    <row r="71" spans="1:15" x14ac:dyDescent="0.25">
      <c r="A71" s="103"/>
      <c r="B71" s="108"/>
      <c r="C71" s="105"/>
      <c r="D71" s="80">
        <v>2</v>
      </c>
      <c r="E71" s="86"/>
      <c r="F71" s="82" t="str">
        <f>IF($E71="","",IF(ISNA(VLOOKUP($E71,DD!$A$2:$C$150,2,0)),"NO SUCH DIVE",VLOOKUP($E71,DD!$A$2:$C$150,2,0)))</f>
        <v/>
      </c>
      <c r="G71" s="83" t="str">
        <f>IF($E71="","",IF(ISNA(VLOOKUP($E71,DD!$A$2:$C$150,3,0)),"",VLOOKUP($E71,DD!$A$2:$C$150,3,0)))</f>
        <v/>
      </c>
      <c r="H71" s="84"/>
      <c r="I71" s="84"/>
      <c r="J71" s="84"/>
      <c r="K71" s="84"/>
      <c r="L71" s="84"/>
      <c r="M71" s="81"/>
      <c r="N71" s="82" t="str">
        <f t="shared" si="2"/>
        <v/>
      </c>
      <c r="O71" s="82" t="str">
        <f>IF(N71="","",N71+O70)</f>
        <v/>
      </c>
    </row>
    <row r="72" spans="1:15" x14ac:dyDescent="0.25">
      <c r="A72" s="103"/>
      <c r="B72" s="108"/>
      <c r="C72" s="105"/>
      <c r="D72" s="80">
        <v>3</v>
      </c>
      <c r="E72" s="86"/>
      <c r="F72" s="82" t="str">
        <f>IF($E72="","",IF(ISNA(VLOOKUP($E72,DD!$A$2:$C$150,2,0)),"NO SUCH DIVE",VLOOKUP($E72,DD!$A$2:$C$150,2,0)))</f>
        <v/>
      </c>
      <c r="G72" s="80" t="str">
        <f>IF($E72="","",IF(ISNA(VLOOKUP($E72,DD!$A$2:$C$150,3,0)),"",VLOOKUP($E72,DD!$A$2:$C$150,3,0)))</f>
        <v/>
      </c>
      <c r="H72" s="84"/>
      <c r="I72" s="84"/>
      <c r="J72" s="84"/>
      <c r="K72" s="84"/>
      <c r="L72" s="84"/>
      <c r="M72" s="81"/>
      <c r="N72" s="82" t="str">
        <f t="shared" si="2"/>
        <v/>
      </c>
      <c r="O72" s="82" t="str">
        <f>IF(N72="","",N72+O71)</f>
        <v/>
      </c>
    </row>
    <row r="73" spans="1:15" x14ac:dyDescent="0.25">
      <c r="A73" s="103"/>
      <c r="B73" s="108"/>
      <c r="C73" s="105"/>
      <c r="D73" s="80">
        <v>4</v>
      </c>
      <c r="E73" s="86"/>
      <c r="F73" s="82" t="str">
        <f>IF($E73="","",IF(ISNA(VLOOKUP($E73,DD!$A$2:$C$150,2,0)),"NO SUCH DIVE",VLOOKUP($E73,DD!$A$2:$C$150,2,0)))</f>
        <v/>
      </c>
      <c r="G73" s="80" t="str">
        <f>IF($E73="","",IF(ISNA(VLOOKUP($E73,DD!$A$2:$C$150,3,0)),"",VLOOKUP($E73,DD!$A$2:$C$150,3,0)))</f>
        <v/>
      </c>
      <c r="H73" s="84"/>
      <c r="I73" s="84"/>
      <c r="J73" s="84"/>
      <c r="K73" s="84"/>
      <c r="L73" s="84"/>
      <c r="M73" s="81"/>
      <c r="N73" s="82" t="str">
        <f t="shared" si="2"/>
        <v/>
      </c>
      <c r="O73" s="85">
        <f>IF(N73="",0,N73+O72)</f>
        <v>0</v>
      </c>
    </row>
    <row r="74" spans="1:15" x14ac:dyDescent="0.25">
      <c r="A74" s="97">
        <v>19</v>
      </c>
      <c r="B74" s="107"/>
      <c r="C74" s="106"/>
      <c r="D74" s="46">
        <v>1</v>
      </c>
      <c r="E74" s="50"/>
      <c r="F74" s="45" t="str">
        <f>IF($E74="","",IF(ISNA(VLOOKUP($E74,DD!$A$2:$C$150,2,0)),"NO SUCH DIVE",VLOOKUP($E74,DD!$A$2:$C$150,2,0)))</f>
        <v/>
      </c>
      <c r="G74" s="51" t="str">
        <f>IF($E74="","",IF(ISNA(VLOOKUP($E74,DD!$A$2:$C$150,3,0)),"",VLOOKUP($E74,DD!$A$2:$C$150,3,0)))</f>
        <v/>
      </c>
      <c r="H74" s="52"/>
      <c r="I74" s="52"/>
      <c r="J74" s="52"/>
      <c r="K74" s="52"/>
      <c r="L74" s="52"/>
      <c r="M74" s="50"/>
      <c r="N74" s="45" t="str">
        <f t="shared" si="2"/>
        <v/>
      </c>
      <c r="O74" s="45" t="str">
        <f>IF(N74="","",N74)</f>
        <v/>
      </c>
    </row>
    <row r="75" spans="1:15" ht="15" customHeight="1" x14ac:dyDescent="0.25">
      <c r="A75" s="97"/>
      <c r="B75" s="107"/>
      <c r="C75" s="106"/>
      <c r="D75" s="46">
        <v>2</v>
      </c>
      <c r="E75" s="62"/>
      <c r="F75" s="45" t="str">
        <f>IF($E75="","",IF(ISNA(VLOOKUP($E75,DD!$A$2:$C$150,2,0)),"NO SUCH DIVE",VLOOKUP($E75,DD!$A$2:$C$150,2,0)))</f>
        <v/>
      </c>
      <c r="G75" s="51" t="str">
        <f>IF($E75="","",IF(ISNA(VLOOKUP($E75,DD!$A$2:$C$150,3,0)),"",VLOOKUP($E75,DD!$A$2:$C$150,3,0)))</f>
        <v/>
      </c>
      <c r="H75" s="52"/>
      <c r="I75" s="52"/>
      <c r="J75" s="52"/>
      <c r="K75" s="52"/>
      <c r="L75" s="52"/>
      <c r="M75" s="50"/>
      <c r="N75" s="45" t="str">
        <f t="shared" si="2"/>
        <v/>
      </c>
      <c r="O75" s="45" t="str">
        <f>IF(N75="","",N75+O74)</f>
        <v/>
      </c>
    </row>
    <row r="76" spans="1:15" x14ac:dyDescent="0.25">
      <c r="A76" s="97"/>
      <c r="B76" s="107"/>
      <c r="C76" s="106"/>
      <c r="D76" s="46">
        <v>3</v>
      </c>
      <c r="E76" s="62"/>
      <c r="F76" s="45" t="str">
        <f>IF($E76="","",IF(ISNA(VLOOKUP($E76,DD!$A$2:$C$150,2,0)),"NO SUCH DIVE",VLOOKUP($E76,DD!$A$2:$C$150,2,0)))</f>
        <v/>
      </c>
      <c r="G76" s="46" t="str">
        <f>IF($E76="","",IF(ISNA(VLOOKUP($E76,DD!$A$2:$C$150,3,0)),"",VLOOKUP($E76,DD!$A$2:$C$150,3,0)))</f>
        <v/>
      </c>
      <c r="H76" s="52"/>
      <c r="I76" s="52"/>
      <c r="J76" s="52"/>
      <c r="K76" s="52"/>
      <c r="L76" s="52"/>
      <c r="M76" s="50"/>
      <c r="N76" s="45" t="str">
        <f t="shared" si="2"/>
        <v/>
      </c>
      <c r="O76" s="45" t="str">
        <f>IF(N76="","",N76+O75)</f>
        <v/>
      </c>
    </row>
    <row r="77" spans="1:15" x14ac:dyDescent="0.25">
      <c r="A77" s="97"/>
      <c r="B77" s="107"/>
      <c r="C77" s="106"/>
      <c r="D77" s="46">
        <v>4</v>
      </c>
      <c r="E77" s="62"/>
      <c r="F77" s="45" t="str">
        <f>IF($E77="","",IF(ISNA(VLOOKUP($E77,DD!$A$2:$C$150,2,0)),"NO SUCH DIVE",VLOOKUP($E77,DD!$A$2:$C$150,2,0)))</f>
        <v/>
      </c>
      <c r="G77" s="46" t="str">
        <f>IF($E77="","",IF(ISNA(VLOOKUP($E77,DD!$A$2:$C$150,3,0)),"",VLOOKUP($E77,DD!$A$2:$C$150,3,0)))</f>
        <v/>
      </c>
      <c r="H77" s="52"/>
      <c r="I77" s="52"/>
      <c r="J77" s="52"/>
      <c r="K77" s="52"/>
      <c r="L77" s="52"/>
      <c r="M77" s="50"/>
      <c r="N77" s="45" t="str">
        <f t="shared" si="2"/>
        <v/>
      </c>
      <c r="O77" s="54">
        <f>IF(N77="",0,N77+O76)</f>
        <v>0</v>
      </c>
    </row>
    <row r="78" spans="1:15" x14ac:dyDescent="0.25">
      <c r="A78" s="103">
        <v>20</v>
      </c>
      <c r="B78" s="108"/>
      <c r="C78" s="105"/>
      <c r="D78" s="80">
        <v>1</v>
      </c>
      <c r="E78" s="81"/>
      <c r="F78" s="82" t="str">
        <f>IF($E78="","",IF(ISNA(VLOOKUP($E78,DD!$A$2:$C$150,2,0)),"NO SUCH DIVE",VLOOKUP($E78,DD!$A$2:$C$150,2,0)))</f>
        <v/>
      </c>
      <c r="G78" s="83" t="str">
        <f>IF($E78="","",IF(ISNA(VLOOKUP($E78,DD!$A$2:$C$150,3,0)),"",VLOOKUP($E78,DD!$A$2:$C$150,3,0)))</f>
        <v/>
      </c>
      <c r="H78" s="84"/>
      <c r="I78" s="84"/>
      <c r="J78" s="84"/>
      <c r="K78" s="84"/>
      <c r="L78" s="84"/>
      <c r="M78" s="81"/>
      <c r="N78" s="82" t="str">
        <f t="shared" si="2"/>
        <v/>
      </c>
      <c r="O78" s="82" t="str">
        <f>IF(N78="","",N78)</f>
        <v/>
      </c>
    </row>
    <row r="79" spans="1:15" x14ac:dyDescent="0.25">
      <c r="A79" s="103"/>
      <c r="B79" s="108"/>
      <c r="C79" s="105"/>
      <c r="D79" s="80">
        <v>2</v>
      </c>
      <c r="E79" s="86"/>
      <c r="F79" s="82" t="str">
        <f>IF($E79="","",IF(ISNA(VLOOKUP($E79,DD!$A$2:$C$150,2,0)),"NO SUCH DIVE",VLOOKUP($E79,DD!$A$2:$C$150,2,0)))</f>
        <v/>
      </c>
      <c r="G79" s="83" t="str">
        <f>IF($E79="","",IF(ISNA(VLOOKUP($E79,DD!$A$2:$C$150,3,0)),"",VLOOKUP($E79,DD!$A$2:$C$150,3,0)))</f>
        <v/>
      </c>
      <c r="H79" s="84"/>
      <c r="I79" s="84"/>
      <c r="J79" s="84"/>
      <c r="K79" s="84"/>
      <c r="L79" s="84"/>
      <c r="M79" s="81"/>
      <c r="N79" s="82" t="str">
        <f t="shared" si="2"/>
        <v/>
      </c>
      <c r="O79" s="82" t="str">
        <f>IF(N79="","",N79+O78)</f>
        <v/>
      </c>
    </row>
    <row r="80" spans="1:15" x14ac:dyDescent="0.25">
      <c r="A80" s="103"/>
      <c r="B80" s="108"/>
      <c r="C80" s="105"/>
      <c r="D80" s="80">
        <v>3</v>
      </c>
      <c r="E80" s="86"/>
      <c r="F80" s="82" t="str">
        <f>IF($E80="","",IF(ISNA(VLOOKUP($E80,DD!$A$2:$C$150,2,0)),"NO SUCH DIVE",VLOOKUP($E80,DD!$A$2:$C$150,2,0)))</f>
        <v/>
      </c>
      <c r="G80" s="80" t="str">
        <f>IF($E80="","",IF(ISNA(VLOOKUP($E80,DD!$A$2:$C$150,3,0)),"",VLOOKUP($E80,DD!$A$2:$C$150,3,0)))</f>
        <v/>
      </c>
      <c r="H80" s="84"/>
      <c r="I80" s="84"/>
      <c r="J80" s="84"/>
      <c r="K80" s="84"/>
      <c r="L80" s="84"/>
      <c r="M80" s="81"/>
      <c r="N80" s="82" t="str">
        <f t="shared" si="2"/>
        <v/>
      </c>
      <c r="O80" s="82" t="str">
        <f>IF(N80="","",N80+O79)</f>
        <v/>
      </c>
    </row>
    <row r="81" spans="1:15" x14ac:dyDescent="0.25">
      <c r="A81" s="103"/>
      <c r="B81" s="108"/>
      <c r="C81" s="105"/>
      <c r="D81" s="80">
        <v>4</v>
      </c>
      <c r="E81" s="86"/>
      <c r="F81" s="82" t="str">
        <f>IF($E81="","",IF(ISNA(VLOOKUP($E81,DD!$A$2:$C$150,2,0)),"NO SUCH DIVE",VLOOKUP($E81,DD!$A$2:$C$150,2,0)))</f>
        <v/>
      </c>
      <c r="G81" s="80" t="str">
        <f>IF($E81="","",IF(ISNA(VLOOKUP($E81,DD!$A$2:$C$150,3,0)),"",VLOOKUP($E81,DD!$A$2:$C$150,3,0)))</f>
        <v/>
      </c>
      <c r="H81" s="84"/>
      <c r="I81" s="84"/>
      <c r="J81" s="84"/>
      <c r="K81" s="84"/>
      <c r="L81" s="84"/>
      <c r="M81" s="81"/>
      <c r="N81" s="82" t="str">
        <f t="shared" si="2"/>
        <v/>
      </c>
      <c r="O81" s="85">
        <f>IF(N81="",0,N81+O80)</f>
        <v>0</v>
      </c>
    </row>
    <row r="82" spans="1:15" x14ac:dyDescent="0.25">
      <c r="A82" s="97">
        <v>21</v>
      </c>
      <c r="B82" s="107"/>
      <c r="C82" s="106"/>
      <c r="D82" s="46">
        <v>1</v>
      </c>
      <c r="E82" s="50"/>
      <c r="F82" s="45" t="str">
        <f>IF($E82="","",IF(ISNA(VLOOKUP($E82,DD!$A$2:$C$150,2,0)),"NO SUCH DIVE",VLOOKUP($E82,DD!$A$2:$C$150,2,0)))</f>
        <v/>
      </c>
      <c r="G82" s="51" t="str">
        <f>IF($E82="","",IF(ISNA(VLOOKUP($E82,DD!$A$2:$C$150,3,0)),"",VLOOKUP($E82,DD!$A$2:$C$150,3,0)))</f>
        <v/>
      </c>
      <c r="H82" s="52"/>
      <c r="I82" s="52"/>
      <c r="J82" s="52"/>
      <c r="K82" s="52"/>
      <c r="L82" s="52"/>
      <c r="M82" s="50"/>
      <c r="N82" s="45" t="str">
        <f t="shared" si="2"/>
        <v/>
      </c>
      <c r="O82" s="45" t="str">
        <f>IF(N82="","",N82)</f>
        <v/>
      </c>
    </row>
    <row r="83" spans="1:15" x14ac:dyDescent="0.25">
      <c r="A83" s="97"/>
      <c r="B83" s="107"/>
      <c r="C83" s="106"/>
      <c r="D83" s="46">
        <v>2</v>
      </c>
      <c r="E83" s="62"/>
      <c r="F83" s="45" t="str">
        <f>IF($E83="","",IF(ISNA(VLOOKUP($E83,DD!$A$2:$C$150,2,0)),"NO SUCH DIVE",VLOOKUP($E83,DD!$A$2:$C$150,2,0)))</f>
        <v/>
      </c>
      <c r="G83" s="51" t="str">
        <f>IF($E83="","",IF(ISNA(VLOOKUP($E83,DD!$A$2:$C$150,3,0)),"",VLOOKUP($E83,DD!$A$2:$C$150,3,0)))</f>
        <v/>
      </c>
      <c r="H83" s="52"/>
      <c r="I83" s="52"/>
      <c r="J83" s="52"/>
      <c r="K83" s="52"/>
      <c r="L83" s="52"/>
      <c r="M83" s="50"/>
      <c r="N83" s="45" t="str">
        <f t="shared" si="2"/>
        <v/>
      </c>
      <c r="O83" s="45" t="str">
        <f>IF(N83="","",N83+O82)</f>
        <v/>
      </c>
    </row>
    <row r="84" spans="1:15" x14ac:dyDescent="0.25">
      <c r="A84" s="97"/>
      <c r="B84" s="107"/>
      <c r="C84" s="106"/>
      <c r="D84" s="46">
        <v>3</v>
      </c>
      <c r="E84" s="62"/>
      <c r="F84" s="45" t="str">
        <f>IF($E84="","",IF(ISNA(VLOOKUP($E84,DD!$A$2:$C$150,2,0)),"NO SUCH DIVE",VLOOKUP($E84,DD!$A$2:$C$150,2,0)))</f>
        <v/>
      </c>
      <c r="G84" s="46" t="str">
        <f>IF($E84="","",IF(ISNA(VLOOKUP($E84,DD!$A$2:$C$150,3,0)),"",VLOOKUP($E84,DD!$A$2:$C$150,3,0)))</f>
        <v/>
      </c>
      <c r="H84" s="52"/>
      <c r="I84" s="52"/>
      <c r="J84" s="52"/>
      <c r="K84" s="52"/>
      <c r="L84" s="52"/>
      <c r="M84" s="50"/>
      <c r="N84" s="45" t="str">
        <f t="shared" si="2"/>
        <v/>
      </c>
      <c r="O84" s="45" t="str">
        <f>IF(N84="","",N84+O83)</f>
        <v/>
      </c>
    </row>
    <row r="85" spans="1:15" x14ac:dyDescent="0.25">
      <c r="A85" s="97"/>
      <c r="B85" s="107"/>
      <c r="C85" s="106"/>
      <c r="D85" s="46">
        <v>4</v>
      </c>
      <c r="E85" s="62"/>
      <c r="F85" s="45" t="str">
        <f>IF($E85="","",IF(ISNA(VLOOKUP($E85,DD!$A$2:$C$150,2,0)),"NO SUCH DIVE",VLOOKUP($E85,DD!$A$2:$C$150,2,0)))</f>
        <v/>
      </c>
      <c r="G85" s="46" t="str">
        <f>IF($E85="","",IF(ISNA(VLOOKUP($E85,DD!$A$2:$C$150,3,0)),"",VLOOKUP($E85,DD!$A$2:$C$150,3,0)))</f>
        <v/>
      </c>
      <c r="H85" s="52"/>
      <c r="I85" s="52"/>
      <c r="J85" s="52"/>
      <c r="K85" s="52"/>
      <c r="L85" s="52"/>
      <c r="M85" s="50"/>
      <c r="N85" s="45" t="str">
        <f t="shared" si="2"/>
        <v/>
      </c>
      <c r="O85" s="54">
        <f>IF(N85="",0,N85+O84)</f>
        <v>0</v>
      </c>
    </row>
    <row r="86" spans="1:15" x14ac:dyDescent="0.25">
      <c r="A86" s="103">
        <v>22</v>
      </c>
      <c r="B86" s="108"/>
      <c r="C86" s="105"/>
      <c r="D86" s="80">
        <v>1</v>
      </c>
      <c r="E86" s="81"/>
      <c r="F86" s="82" t="str">
        <f>IF($E86="","",IF(ISNA(VLOOKUP($E86,DD!$A$2:$C$150,2,0)),"NO SUCH DIVE",VLOOKUP($E86,DD!$A$2:$C$150,2,0)))</f>
        <v/>
      </c>
      <c r="G86" s="83" t="str">
        <f>IF($E86="","",IF(ISNA(VLOOKUP($E86,DD!$A$2:$C$150,3,0)),"",VLOOKUP($E86,DD!$A$2:$C$150,3,0)))</f>
        <v/>
      </c>
      <c r="H86" s="84"/>
      <c r="I86" s="84"/>
      <c r="J86" s="84"/>
      <c r="K86" s="84"/>
      <c r="L86" s="84"/>
      <c r="M86" s="81"/>
      <c r="N86" s="82" t="str">
        <f t="shared" si="2"/>
        <v/>
      </c>
      <c r="O86" s="82" t="str">
        <f>IF(N86="","",N86)</f>
        <v/>
      </c>
    </row>
    <row r="87" spans="1:15" x14ac:dyDescent="0.25">
      <c r="A87" s="103"/>
      <c r="B87" s="108"/>
      <c r="C87" s="105"/>
      <c r="D87" s="80">
        <v>2</v>
      </c>
      <c r="E87" s="86"/>
      <c r="F87" s="82" t="str">
        <f>IF($E87="","",IF(ISNA(VLOOKUP($E87,DD!$A$2:$C$150,2,0)),"NO SUCH DIVE",VLOOKUP($E87,DD!$A$2:$C$150,2,0)))</f>
        <v/>
      </c>
      <c r="G87" s="83" t="str">
        <f>IF($E87="","",IF(ISNA(VLOOKUP($E87,DD!$A$2:$C$150,3,0)),"",VLOOKUP($E87,DD!$A$2:$C$150,3,0)))</f>
        <v/>
      </c>
      <c r="H87" s="84"/>
      <c r="I87" s="84"/>
      <c r="J87" s="84"/>
      <c r="K87" s="84"/>
      <c r="L87" s="84"/>
      <c r="M87" s="81"/>
      <c r="N87" s="82" t="str">
        <f t="shared" si="2"/>
        <v/>
      </c>
      <c r="O87" s="82" t="str">
        <f>IF(N87="","",N87+O86)</f>
        <v/>
      </c>
    </row>
    <row r="88" spans="1:15" x14ac:dyDescent="0.25">
      <c r="A88" s="103"/>
      <c r="B88" s="108"/>
      <c r="C88" s="105"/>
      <c r="D88" s="80">
        <v>3</v>
      </c>
      <c r="E88" s="86"/>
      <c r="F88" s="82" t="str">
        <f>IF($E88="","",IF(ISNA(VLOOKUP($E88,DD!$A$2:$C$150,2,0)),"NO SUCH DIVE",VLOOKUP($E88,DD!$A$2:$C$150,2,0)))</f>
        <v/>
      </c>
      <c r="G88" s="80" t="str">
        <f>IF($E88="","",IF(ISNA(VLOOKUP($E88,DD!$A$2:$C$150,3,0)),"",VLOOKUP($E88,DD!$A$2:$C$150,3,0)))</f>
        <v/>
      </c>
      <c r="H88" s="84"/>
      <c r="I88" s="84"/>
      <c r="J88" s="84"/>
      <c r="K88" s="84"/>
      <c r="L88" s="84"/>
      <c r="M88" s="81"/>
      <c r="N88" s="82" t="str">
        <f t="shared" si="2"/>
        <v/>
      </c>
      <c r="O88" s="82" t="str">
        <f>IF(N88="","",N88+O87)</f>
        <v/>
      </c>
    </row>
    <row r="89" spans="1:15" x14ac:dyDescent="0.25">
      <c r="A89" s="103"/>
      <c r="B89" s="108"/>
      <c r="C89" s="105"/>
      <c r="D89" s="80">
        <v>4</v>
      </c>
      <c r="E89" s="86"/>
      <c r="F89" s="82" t="str">
        <f>IF($E89="","",IF(ISNA(VLOOKUP($E89,DD!$A$2:$C$150,2,0)),"NO SUCH DIVE",VLOOKUP($E89,DD!$A$2:$C$150,2,0)))</f>
        <v/>
      </c>
      <c r="G89" s="80" t="str">
        <f>IF($E89="","",IF(ISNA(VLOOKUP($E89,DD!$A$2:$C$150,3,0)),"",VLOOKUP($E89,DD!$A$2:$C$150,3,0)))</f>
        <v/>
      </c>
      <c r="H89" s="84"/>
      <c r="I89" s="84"/>
      <c r="J89" s="84"/>
      <c r="K89" s="84"/>
      <c r="L89" s="84"/>
      <c r="M89" s="81"/>
      <c r="N89" s="82" t="str">
        <f t="shared" si="2"/>
        <v/>
      </c>
      <c r="O89" s="85">
        <f>IF(N89="",0,N89+O88)</f>
        <v>0</v>
      </c>
    </row>
    <row r="90" spans="1:15" x14ac:dyDescent="0.25">
      <c r="A90" s="97">
        <v>23</v>
      </c>
      <c r="B90" s="107"/>
      <c r="C90" s="106"/>
      <c r="D90" s="46">
        <v>1</v>
      </c>
      <c r="E90" s="50"/>
      <c r="F90" s="45" t="str">
        <f>IF($E90="","",IF(ISNA(VLOOKUP($E90,DD!$A$2:$C$150,2,0)),"NO SUCH DIVE",VLOOKUP($E90,DD!$A$2:$C$150,2,0)))</f>
        <v/>
      </c>
      <c r="G90" s="51" t="str">
        <f>IF($E90="","",IF(ISNA(VLOOKUP($E90,DD!$A$2:$C$150,3,0)),"",VLOOKUP($E90,DD!$A$2:$C$150,3,0)))</f>
        <v/>
      </c>
      <c r="H90" s="52"/>
      <c r="I90" s="52"/>
      <c r="J90" s="52"/>
      <c r="K90" s="52"/>
      <c r="L90" s="52"/>
      <c r="M90" s="50"/>
      <c r="N90" s="45" t="str">
        <f t="shared" si="2"/>
        <v/>
      </c>
      <c r="O90" s="45" t="str">
        <f>IF(N90="","",N90)</f>
        <v/>
      </c>
    </row>
    <row r="91" spans="1:15" x14ac:dyDescent="0.25">
      <c r="A91" s="97"/>
      <c r="B91" s="107"/>
      <c r="C91" s="106"/>
      <c r="D91" s="46">
        <v>2</v>
      </c>
      <c r="E91" s="62"/>
      <c r="F91" s="45" t="str">
        <f>IF($E91="","",IF(ISNA(VLOOKUP($E91,DD!$A$2:$C$150,2,0)),"NO SUCH DIVE",VLOOKUP($E91,DD!$A$2:$C$150,2,0)))</f>
        <v/>
      </c>
      <c r="G91" s="51" t="str">
        <f>IF($E91="","",IF(ISNA(VLOOKUP($E91,DD!$A$2:$C$150,3,0)),"",VLOOKUP($E91,DD!$A$2:$C$150,3,0)))</f>
        <v/>
      </c>
      <c r="H91" s="52"/>
      <c r="I91" s="52"/>
      <c r="J91" s="52"/>
      <c r="K91" s="52"/>
      <c r="L91" s="52"/>
      <c r="M91" s="50"/>
      <c r="N91" s="45" t="str">
        <f t="shared" si="2"/>
        <v/>
      </c>
      <c r="O91" s="45" t="str">
        <f>IF(N91="","",N91+O90)</f>
        <v/>
      </c>
    </row>
    <row r="92" spans="1:15" x14ac:dyDescent="0.25">
      <c r="A92" s="97"/>
      <c r="B92" s="107"/>
      <c r="C92" s="106"/>
      <c r="D92" s="46">
        <v>3</v>
      </c>
      <c r="E92" s="62"/>
      <c r="F92" s="45" t="str">
        <f>IF($E92="","",IF(ISNA(VLOOKUP($E92,DD!$A$2:$C$150,2,0)),"NO SUCH DIVE",VLOOKUP($E92,DD!$A$2:$C$150,2,0)))</f>
        <v/>
      </c>
      <c r="G92" s="46" t="str">
        <f>IF($E92="","",IF(ISNA(VLOOKUP($E92,DD!$A$2:$C$150,3,0)),"",VLOOKUP($E92,DD!$A$2:$C$150,3,0)))</f>
        <v/>
      </c>
      <c r="H92" s="52"/>
      <c r="I92" s="52"/>
      <c r="J92" s="52"/>
      <c r="K92" s="52"/>
      <c r="L92" s="52"/>
      <c r="M92" s="50"/>
      <c r="N92" s="45" t="str">
        <f t="shared" si="2"/>
        <v/>
      </c>
      <c r="O92" s="45" t="str">
        <f>IF(N92="","",N92+O91)</f>
        <v/>
      </c>
    </row>
    <row r="93" spans="1:15" x14ac:dyDescent="0.25">
      <c r="A93" s="97"/>
      <c r="B93" s="107"/>
      <c r="C93" s="106"/>
      <c r="D93" s="46">
        <v>4</v>
      </c>
      <c r="E93" s="62"/>
      <c r="F93" s="45" t="str">
        <f>IF($E93="","",IF(ISNA(VLOOKUP($E93,DD!$A$2:$C$150,2,0)),"NO SUCH DIVE",VLOOKUP($E93,DD!$A$2:$C$150,2,0)))</f>
        <v/>
      </c>
      <c r="G93" s="46" t="str">
        <f>IF($E93="","",IF(ISNA(VLOOKUP($E93,DD!$A$2:$C$150,3,0)),"",VLOOKUP($E93,DD!$A$2:$C$150,3,0)))</f>
        <v/>
      </c>
      <c r="H93" s="52"/>
      <c r="I93" s="52"/>
      <c r="J93" s="52"/>
      <c r="K93" s="52"/>
      <c r="L93" s="52"/>
      <c r="M93" s="50"/>
      <c r="N93" s="45" t="str">
        <f t="shared" si="2"/>
        <v/>
      </c>
      <c r="O93" s="54">
        <f>IF(N93="",0,N93+O92)</f>
        <v>0</v>
      </c>
    </row>
    <row r="94" spans="1:15" x14ac:dyDescent="0.25">
      <c r="A94" s="103">
        <v>24</v>
      </c>
      <c r="B94" s="108"/>
      <c r="C94" s="105"/>
      <c r="D94" s="80">
        <v>1</v>
      </c>
      <c r="E94" s="81"/>
      <c r="F94" s="82" t="str">
        <f>IF($E94="","",IF(ISNA(VLOOKUP($E94,DD!$A$2:$C$150,2,0)),"NO SUCH DIVE",VLOOKUP($E94,DD!$A$2:$C$150,2,0)))</f>
        <v/>
      </c>
      <c r="G94" s="83" t="str">
        <f>IF($E94="","",IF(ISNA(VLOOKUP($E94,DD!$A$2:$C$150,3,0)),"",VLOOKUP($E94,DD!$A$2:$C$150,3,0)))</f>
        <v/>
      </c>
      <c r="H94" s="84"/>
      <c r="I94" s="84"/>
      <c r="J94" s="84"/>
      <c r="K94" s="84"/>
      <c r="L94" s="84"/>
      <c r="M94" s="81"/>
      <c r="N94" s="82" t="str">
        <f t="shared" si="2"/>
        <v/>
      </c>
      <c r="O94" s="82" t="str">
        <f>IF(N94="","",N94)</f>
        <v/>
      </c>
    </row>
    <row r="95" spans="1:15" x14ac:dyDescent="0.25">
      <c r="A95" s="103"/>
      <c r="B95" s="108"/>
      <c r="C95" s="105"/>
      <c r="D95" s="80">
        <v>2</v>
      </c>
      <c r="E95" s="86"/>
      <c r="F95" s="82" t="str">
        <f>IF($E95="","",IF(ISNA(VLOOKUP($E95,DD!$A$2:$C$150,2,0)),"NO SUCH DIVE",VLOOKUP($E95,DD!$A$2:$C$150,2,0)))</f>
        <v/>
      </c>
      <c r="G95" s="83" t="str">
        <f>IF($E95="","",IF(ISNA(VLOOKUP($E95,DD!$A$2:$C$150,3,0)),"",VLOOKUP($E95,DD!$A$2:$C$150,3,0)))</f>
        <v/>
      </c>
      <c r="H95" s="84"/>
      <c r="I95" s="84"/>
      <c r="J95" s="84"/>
      <c r="K95" s="84"/>
      <c r="L95" s="84"/>
      <c r="M95" s="81"/>
      <c r="N95" s="82" t="str">
        <f t="shared" si="2"/>
        <v/>
      </c>
      <c r="O95" s="82" t="str">
        <f>IF(N95="","",N95+O94)</f>
        <v/>
      </c>
    </row>
    <row r="96" spans="1:15" x14ac:dyDescent="0.25">
      <c r="A96" s="103"/>
      <c r="B96" s="108"/>
      <c r="C96" s="105"/>
      <c r="D96" s="80">
        <v>3</v>
      </c>
      <c r="E96" s="86"/>
      <c r="F96" s="82" t="str">
        <f>IF($E96="","",IF(ISNA(VLOOKUP($E96,DD!$A$2:$C$150,2,0)),"NO SUCH DIVE",VLOOKUP($E96,DD!$A$2:$C$150,2,0)))</f>
        <v/>
      </c>
      <c r="G96" s="80" t="str">
        <f>IF($E96="","",IF(ISNA(VLOOKUP($E96,DD!$A$2:$C$150,3,0)),"",VLOOKUP($E96,DD!$A$2:$C$150,3,0)))</f>
        <v/>
      </c>
      <c r="H96" s="84"/>
      <c r="I96" s="84"/>
      <c r="J96" s="84"/>
      <c r="K96" s="84"/>
      <c r="L96" s="84"/>
      <c r="M96" s="81"/>
      <c r="N96" s="82" t="str">
        <f t="shared" si="2"/>
        <v/>
      </c>
      <c r="O96" s="82" t="str">
        <f>IF(N96="","",N96+O95)</f>
        <v/>
      </c>
    </row>
    <row r="97" spans="1:20" x14ac:dyDescent="0.25">
      <c r="A97" s="103"/>
      <c r="B97" s="108"/>
      <c r="C97" s="105"/>
      <c r="D97" s="80">
        <v>4</v>
      </c>
      <c r="E97" s="86"/>
      <c r="F97" s="82" t="str">
        <f>IF($E97="","",IF(ISNA(VLOOKUP($E97,DD!$A$2:$C$150,2,0)),"NO SUCH DIVE",VLOOKUP($E97,DD!$A$2:$C$150,2,0)))</f>
        <v/>
      </c>
      <c r="G97" s="80" t="str">
        <f>IF($E97="","",IF(ISNA(VLOOKUP($E97,DD!$A$2:$C$150,3,0)),"",VLOOKUP($E97,DD!$A$2:$C$150,3,0)))</f>
        <v/>
      </c>
      <c r="H97" s="84"/>
      <c r="I97" s="84"/>
      <c r="J97" s="84"/>
      <c r="K97" s="84"/>
      <c r="L97" s="84"/>
      <c r="M97" s="81"/>
      <c r="N97" s="82" t="str">
        <f t="shared" si="2"/>
        <v/>
      </c>
      <c r="O97" s="85">
        <f>IF(N97="",0,N97+O96)</f>
        <v>0</v>
      </c>
    </row>
    <row r="99" spans="1:20" ht="33.6" customHeight="1" x14ac:dyDescent="0.25">
      <c r="C99" s="63" t="s">
        <v>78</v>
      </c>
      <c r="D99" s="64" t="s">
        <v>79</v>
      </c>
      <c r="E99" s="65" t="s">
        <v>80</v>
      </c>
      <c r="F99" s="65" t="s">
        <v>27</v>
      </c>
      <c r="G99" s="65" t="s">
        <v>33</v>
      </c>
      <c r="H99" s="65" t="s">
        <v>81</v>
      </c>
      <c r="I99" s="66" t="s">
        <v>30</v>
      </c>
      <c r="R99" s="45" t="str">
        <f>INFO!$B$4</f>
        <v>Side</v>
      </c>
      <c r="S99" s="45" t="str">
        <f>INFO!$B$5</f>
        <v>ALPS</v>
      </c>
    </row>
    <row r="100" spans="1:20" x14ac:dyDescent="0.25">
      <c r="C100" s="67">
        <f>IF(E100&lt;1,0,1)</f>
        <v>1</v>
      </c>
      <c r="D100" s="68">
        <f>IF(OR(C100&lt;1,H100&lt;&gt;"",COUNTIF(T$100:T100,T100)&gt;3),"",VLOOKUP(C100-COUNTA(H$100:H100),DD!$E$24:$F$49,2))</f>
        <v>16</v>
      </c>
      <c r="E100" s="69">
        <f>IF(LARGE($R$2:$R$25,1)&lt;1,0,LARGE($R$2:$R$25,1))</f>
        <v>136.80001200000001</v>
      </c>
      <c r="F100" s="70" t="str">
        <f t="shared" ref="F100:F123" si="3">VLOOKUP(E100,$R$2:$T$26,2,0)</f>
        <v>Wyatt Collins</v>
      </c>
      <c r="G100" s="68" t="str">
        <f t="shared" ref="G100:G123" si="4">VLOOKUP(E100,$R$2:$T$26,3,0)</f>
        <v>Side</v>
      </c>
      <c r="H100" s="71"/>
      <c r="I100" s="72" t="str">
        <f t="shared" ref="I100:I122" si="5">IF(AND(OR(C100=C99,C100=C101),C100&lt;&gt;0),"TIE","")</f>
        <v/>
      </c>
      <c r="R100" s="45">
        <f t="shared" ref="R100:R123" si="6">IF(G100=$R$99,D100,0)</f>
        <v>16</v>
      </c>
      <c r="S100" s="45">
        <f t="shared" ref="S100:S123" si="7">IF(G100=$S$99,D100,0)</f>
        <v>0</v>
      </c>
      <c r="T100" s="73" t="str">
        <f t="shared" ref="T100:T123" si="8">G100&amp;H100</f>
        <v>Side</v>
      </c>
    </row>
    <row r="101" spans="1:20" x14ac:dyDescent="0.25">
      <c r="C101" s="67">
        <f>IF(E101&lt;1,0,IF(INT(E101*100)=INT(E100*100),C100,2))</f>
        <v>2</v>
      </c>
      <c r="D101" s="68">
        <f>IF(OR(C101&lt;1,H101&lt;&gt;"",COUNTIF(T$100:T101,T101)&gt;3),"",VLOOKUP(C101-COUNTA(H$100:H101),DD!$E$24:$F$49,2))</f>
        <v>14</v>
      </c>
      <c r="E101" s="69">
        <f>IF(LARGE($R$2:$R$25,2)&lt;1,0,LARGE($R$2:$R$25,2))</f>
        <v>117.400007</v>
      </c>
      <c r="F101" s="70" t="str">
        <f t="shared" si="3"/>
        <v>Elijah Palov</v>
      </c>
      <c r="G101" s="68" t="str">
        <f t="shared" si="4"/>
        <v>Side</v>
      </c>
      <c r="H101" s="71"/>
      <c r="I101" s="72" t="str">
        <f t="shared" si="5"/>
        <v/>
      </c>
      <c r="R101" s="45">
        <f t="shared" si="6"/>
        <v>14</v>
      </c>
      <c r="S101" s="45">
        <f t="shared" si="7"/>
        <v>0</v>
      </c>
      <c r="T101" s="73" t="str">
        <f t="shared" si="8"/>
        <v>Side</v>
      </c>
    </row>
    <row r="102" spans="1:20" x14ac:dyDescent="0.25">
      <c r="C102" s="67">
        <f>IF(E102&lt;1,0,IF(INT(E102*100)=INT(E101*100),C101,3))</f>
        <v>3</v>
      </c>
      <c r="D102" s="68">
        <f>IF(OR(C102&lt;1,H102&lt;&gt;"",COUNTIF(T$100:T102,T102)&gt;3),"",VLOOKUP(C102-COUNTA(H$100:H102),DD!$E$24:$F$49,2))</f>
        <v>12</v>
      </c>
      <c r="E102" s="69">
        <f>IF(LARGE($R$2:$R$25,3)&lt;1,0,LARGE($R$2:$R$25,3))</f>
        <v>97.650016000000008</v>
      </c>
      <c r="F102" s="70" t="str">
        <f t="shared" si="3"/>
        <v>Noah Nelson</v>
      </c>
      <c r="G102" s="68" t="str">
        <f t="shared" si="4"/>
        <v>HCP</v>
      </c>
      <c r="H102" s="71"/>
      <c r="I102" s="72" t="str">
        <f t="shared" si="5"/>
        <v/>
      </c>
      <c r="R102" s="45">
        <f t="shared" si="6"/>
        <v>0</v>
      </c>
      <c r="S102" s="45">
        <f t="shared" si="7"/>
        <v>0</v>
      </c>
      <c r="T102" s="73" t="str">
        <f t="shared" si="8"/>
        <v>HCP</v>
      </c>
    </row>
    <row r="103" spans="1:20" x14ac:dyDescent="0.25">
      <c r="C103" s="67">
        <f>IF(E103&lt;1,0,IF(INT(E103*100)=INT(E102*100),C102,4))</f>
        <v>4</v>
      </c>
      <c r="D103" s="68">
        <f>IF(OR(C103&lt;1,H103&lt;&gt;"",COUNTIF(T$100:T103,T103)&gt;3),"",VLOOKUP(C103-COUNTA(H$100:H103),DD!$E$24:$F$49,2))</f>
        <v>11</v>
      </c>
      <c r="E103" s="69">
        <f>IF(LARGE($R$2:$R$25,4)&lt;1,0,LARGE($R$2:$R$25,4))</f>
        <v>93.350013999999987</v>
      </c>
      <c r="F103" s="70" t="str">
        <f t="shared" si="3"/>
        <v>Liam Elliot</v>
      </c>
      <c r="G103" s="68" t="str">
        <f t="shared" si="4"/>
        <v>HCP</v>
      </c>
      <c r="H103" s="71"/>
      <c r="I103" s="72" t="str">
        <f t="shared" si="5"/>
        <v/>
      </c>
      <c r="R103" s="45">
        <f t="shared" si="6"/>
        <v>0</v>
      </c>
      <c r="S103" s="45">
        <f t="shared" si="7"/>
        <v>0</v>
      </c>
      <c r="T103" s="73" t="str">
        <f t="shared" si="8"/>
        <v>HCP</v>
      </c>
    </row>
    <row r="104" spans="1:20" x14ac:dyDescent="0.25">
      <c r="C104" s="67">
        <f>IF(E104&lt;1,0,IF(INT(E104*100)=INT(E103*100),C103,5))</f>
        <v>5</v>
      </c>
      <c r="D104" s="68">
        <f>IF(OR(C104&lt;1,H104&lt;&gt;"",COUNTIF(T$100:T104,T104)&gt;3),"",VLOOKUP(C104-COUNTA(H$100:H104),DD!$E$24:$F$49,2))</f>
        <v>10</v>
      </c>
      <c r="E104" s="69">
        <f>IF(LARGE($R$2:$R$25,5)&lt;1,0,LARGE($R$2:$R$25,5))</f>
        <v>89.350001999999989</v>
      </c>
      <c r="F104" s="70" t="str">
        <f t="shared" si="3"/>
        <v>James Wood</v>
      </c>
      <c r="G104" s="68" t="str">
        <f t="shared" si="4"/>
        <v>Cedar</v>
      </c>
      <c r="H104" s="71"/>
      <c r="I104" s="72" t="str">
        <f t="shared" si="5"/>
        <v/>
      </c>
      <c r="R104" s="45">
        <f t="shared" si="6"/>
        <v>0</v>
      </c>
      <c r="S104" s="45">
        <f t="shared" si="7"/>
        <v>0</v>
      </c>
      <c r="T104" s="73" t="str">
        <f t="shared" si="8"/>
        <v>Cedar</v>
      </c>
    </row>
    <row r="105" spans="1:20" x14ac:dyDescent="0.25">
      <c r="C105" s="67">
        <f>IF(E105&lt;1,0,IF(INT(E105*100)=INT(E104*100),C104,6))</f>
        <v>6</v>
      </c>
      <c r="D105" s="68">
        <f>IF(OR(C105&lt;1,H105&lt;&gt;"",COUNTIF(T$100:T105,T105)&gt;3),"",VLOOKUP(C105-COUNTA(H$100:H105),DD!$E$24:$F$49,2))</f>
        <v>9</v>
      </c>
      <c r="E105" s="69">
        <f>IF(LARGE($R$2:$R$25,6)&lt;1,0,LARGE($R$2:$R$25,6))</f>
        <v>89.000011000000001</v>
      </c>
      <c r="F105" s="70" t="str">
        <f t="shared" si="3"/>
        <v>Teagan Brodeur</v>
      </c>
      <c r="G105" s="68" t="str">
        <f t="shared" si="4"/>
        <v>Val</v>
      </c>
      <c r="H105" s="71"/>
      <c r="I105" s="72" t="str">
        <f t="shared" si="5"/>
        <v/>
      </c>
      <c r="R105" s="45">
        <f t="shared" si="6"/>
        <v>0</v>
      </c>
      <c r="S105" s="45">
        <f t="shared" si="7"/>
        <v>0</v>
      </c>
      <c r="T105" s="73" t="str">
        <f t="shared" si="8"/>
        <v>Val</v>
      </c>
    </row>
    <row r="106" spans="1:20" x14ac:dyDescent="0.25">
      <c r="C106" s="67">
        <f>IF(E106&lt;1,0,IF(INT(E106*100)=INT(E105*100),C105,7))</f>
        <v>7</v>
      </c>
      <c r="D106" s="68">
        <f>IF(OR(C106&lt;1,H106&lt;&gt;"",COUNTIF(T$100:T106,T106)&gt;3),"",VLOOKUP(C106-COUNTA(H$100:H106),DD!$E$24:$F$49,2))</f>
        <v>7</v>
      </c>
      <c r="E106" s="69">
        <f>IF(LARGE($R$2:$R$25,7)&lt;1,0,LARGE($R$2:$R$25,7))</f>
        <v>86.000003000000007</v>
      </c>
      <c r="F106" s="70" t="str">
        <f t="shared" si="3"/>
        <v>Brayden Dunwoodie</v>
      </c>
      <c r="G106" s="68" t="str">
        <f t="shared" si="4"/>
        <v>VIK</v>
      </c>
      <c r="H106" s="71"/>
      <c r="I106" s="72" t="str">
        <f t="shared" si="5"/>
        <v/>
      </c>
      <c r="R106" s="45">
        <f t="shared" si="6"/>
        <v>0</v>
      </c>
      <c r="S106" s="45">
        <f t="shared" si="7"/>
        <v>0</v>
      </c>
      <c r="T106" s="73" t="str">
        <f t="shared" si="8"/>
        <v>VIK</v>
      </c>
    </row>
    <row r="107" spans="1:20" x14ac:dyDescent="0.25">
      <c r="C107" s="67">
        <f>IF(E107&lt;1,0,IF(INT(E107*100)=INT(E106*100),C106,8))</f>
        <v>8</v>
      </c>
      <c r="D107" s="68">
        <f>IF(OR(C107&lt;1,H107&lt;&gt;"",COUNTIF(T$100:T107,T107)&gt;3),"",VLOOKUP(C107-COUNTA(H$100:H107),DD!$E$24:$F$49,2))</f>
        <v>5</v>
      </c>
      <c r="E107" s="69">
        <f>IF(LARGE($R$2:$R$25,8)&lt;1,0,LARGE($R$2:$R$25,8))</f>
        <v>82.150014999999996</v>
      </c>
      <c r="F107" s="70" t="str">
        <f t="shared" si="3"/>
        <v>Oliver Hennon</v>
      </c>
      <c r="G107" s="68" t="str">
        <f t="shared" si="4"/>
        <v>Val</v>
      </c>
      <c r="H107" s="71"/>
      <c r="I107" s="72" t="str">
        <f t="shared" si="5"/>
        <v/>
      </c>
      <c r="R107" s="45">
        <f t="shared" si="6"/>
        <v>0</v>
      </c>
      <c r="S107" s="45">
        <f t="shared" si="7"/>
        <v>0</v>
      </c>
      <c r="T107" s="73" t="str">
        <f t="shared" si="8"/>
        <v>Val</v>
      </c>
    </row>
    <row r="108" spans="1:20" x14ac:dyDescent="0.25">
      <c r="C108" s="67">
        <f>IF(E108&lt;1,0,IF(INT(E108*100)=INT(E107*100),C107,9))</f>
        <v>9</v>
      </c>
      <c r="D108" s="68">
        <f>IF(OR(C108&lt;1,H108&lt;&gt;"",COUNTIF(T$100:T108,T108)&gt;3),"",VLOOKUP(C108-COUNTA(H$100:H108),DD!$E$24:$F$49,2))</f>
        <v>4</v>
      </c>
      <c r="E108" s="69">
        <f>IF(LARGE($R$2:$R$25,9)&lt;1,0,LARGE($R$2:$R$25,9))</f>
        <v>78.650012999999987</v>
      </c>
      <c r="F108" s="70" t="str">
        <f t="shared" si="3"/>
        <v xml:space="preserve">Carter James </v>
      </c>
      <c r="G108" s="68" t="str">
        <f t="shared" si="4"/>
        <v>Cedar</v>
      </c>
      <c r="H108" s="71"/>
      <c r="I108" s="72" t="str">
        <f t="shared" si="5"/>
        <v/>
      </c>
      <c r="R108" s="45">
        <f t="shared" si="6"/>
        <v>0</v>
      </c>
      <c r="S108" s="45">
        <f t="shared" si="7"/>
        <v>0</v>
      </c>
      <c r="T108" s="73" t="str">
        <f t="shared" si="8"/>
        <v>Cedar</v>
      </c>
    </row>
    <row r="109" spans="1:20" x14ac:dyDescent="0.25">
      <c r="C109" s="67">
        <f>IF(E109&lt;1,0,IF(INT(E109*100)=INT(E108*100),C108,10))</f>
        <v>10</v>
      </c>
      <c r="D109" s="68">
        <f>IF(OR(C109&lt;1,H109&lt;&gt;"",COUNTIF(T$100:T109,T109)&gt;3),"",VLOOKUP(C109-COUNTA(H$100:H109),DD!$E$24:$F$49,2))</f>
        <v>3</v>
      </c>
      <c r="E109" s="69">
        <f>IF(LARGE($R$2:$R$25,10)&lt;1,0,LARGE($R$2:$R$25,10))</f>
        <v>74.500010000000003</v>
      </c>
      <c r="F109" s="70" t="str">
        <f t="shared" si="3"/>
        <v xml:space="preserve">Zachary Johnson </v>
      </c>
      <c r="G109" s="68" t="str">
        <f t="shared" si="4"/>
        <v>HCP</v>
      </c>
      <c r="H109" s="71"/>
      <c r="I109" s="72" t="str">
        <f t="shared" si="5"/>
        <v/>
      </c>
      <c r="R109" s="45">
        <f t="shared" si="6"/>
        <v>0</v>
      </c>
      <c r="S109" s="45">
        <f t="shared" si="7"/>
        <v>0</v>
      </c>
      <c r="T109" s="73" t="str">
        <f t="shared" si="8"/>
        <v>HCP</v>
      </c>
    </row>
    <row r="110" spans="1:20" x14ac:dyDescent="0.25">
      <c r="C110" s="67">
        <f>IF(E110&lt;1,0,IF(INT(E110*100)=INT(E109*100),C109,11))</f>
        <v>11</v>
      </c>
      <c r="D110" s="68">
        <f>IF(OR(C110&lt;1,H110&lt;&gt;"",COUNTIF(T$100:T110,T110)&gt;3),"",VLOOKUP(C110-COUNTA(H$100:H110),DD!$E$24:$F$49,2))</f>
        <v>2</v>
      </c>
      <c r="E110" s="69">
        <f>IF(LARGE($R$2:$R$25,11)&lt;1,0,LARGE($R$2:$R$25,11))</f>
        <v>68.450007999999997</v>
      </c>
      <c r="F110" s="70" t="str">
        <f t="shared" si="3"/>
        <v>Vaughn Frederick</v>
      </c>
      <c r="G110" s="68" t="str">
        <f t="shared" si="4"/>
        <v>Cedar</v>
      </c>
      <c r="H110" s="71"/>
      <c r="I110" s="72" t="str">
        <f t="shared" si="5"/>
        <v/>
      </c>
      <c r="R110" s="45">
        <f t="shared" si="6"/>
        <v>0</v>
      </c>
      <c r="S110" s="45">
        <f t="shared" si="7"/>
        <v>0</v>
      </c>
      <c r="T110" s="73" t="str">
        <f t="shared" si="8"/>
        <v>Cedar</v>
      </c>
    </row>
    <row r="111" spans="1:20" x14ac:dyDescent="0.25">
      <c r="C111" s="67">
        <f>IF(E111&lt;1,0,IF(INT(E111*100)=INT(E110*100),C110,12))</f>
        <v>12</v>
      </c>
      <c r="D111" s="68" t="str">
        <f>IF(OR(C111&lt;1,H111&lt;&gt;"",COUNTIF(T$100:T111,T111)&gt;3),"",VLOOKUP(C111-COUNTA(H$100:H111),DD!$E$24:$F$49,2))</f>
        <v/>
      </c>
      <c r="E111" s="69">
        <f>IF(LARGE($R$2:$R$25,12)&lt;1,0,LARGE($R$2:$R$25,12))</f>
        <v>65.850004999999996</v>
      </c>
      <c r="F111" s="70" t="str">
        <f t="shared" si="3"/>
        <v>Jayson Ip</v>
      </c>
      <c r="G111" s="68" t="str">
        <f t="shared" si="4"/>
        <v>HCP</v>
      </c>
      <c r="H111" s="71"/>
      <c r="I111" s="72" t="str">
        <f t="shared" si="5"/>
        <v/>
      </c>
      <c r="R111" s="45">
        <f t="shared" si="6"/>
        <v>0</v>
      </c>
      <c r="S111" s="45">
        <f t="shared" si="7"/>
        <v>0</v>
      </c>
      <c r="T111" s="73" t="str">
        <f t="shared" si="8"/>
        <v>HCP</v>
      </c>
    </row>
    <row r="112" spans="1:20" x14ac:dyDescent="0.25">
      <c r="C112" s="67">
        <f>IF(E112&lt;1,0,IF(INT(E112*100)=INT(E111*100),C111,13))</f>
        <v>13</v>
      </c>
      <c r="D112" s="68">
        <f>IF(OR(C112&lt;1,H112&lt;&gt;"",COUNTIF(T$100:T112,T112)&gt;3),"",VLOOKUP(C112-COUNTA(H$100:H112),DD!$E$24:$F$49,2))</f>
        <v>0</v>
      </c>
      <c r="E112" s="69">
        <f>IF(LARGE($R$2:$R$25,13)&lt;1,0,LARGE($R$2:$R$25,13))</f>
        <v>59.00000399999999</v>
      </c>
      <c r="F112" s="70" t="str">
        <f t="shared" si="3"/>
        <v>Ayden Jacobs</v>
      </c>
      <c r="G112" s="68" t="str">
        <f t="shared" si="4"/>
        <v>WLRC</v>
      </c>
      <c r="H112" s="71"/>
      <c r="I112" s="72" t="str">
        <f t="shared" si="5"/>
        <v/>
      </c>
      <c r="R112" s="45">
        <f t="shared" si="6"/>
        <v>0</v>
      </c>
      <c r="S112" s="45">
        <f t="shared" si="7"/>
        <v>0</v>
      </c>
      <c r="T112" s="73" t="str">
        <f t="shared" si="8"/>
        <v>WLRC</v>
      </c>
    </row>
    <row r="113" spans="3:20" x14ac:dyDescent="0.25">
      <c r="C113" s="67">
        <f>IF(E113&lt;1,0,IF(INT(E113*100)=INT(E112*100),C112,14))</f>
        <v>0</v>
      </c>
      <c r="D113" s="68" t="str">
        <f>IF(OR(C113&lt;1,H113&lt;&gt;"",COUNTIF(T$100:T113,T113)&gt;3),"",VLOOKUP(C113-COUNTA(H$100:H113),DD!$E$24:$F$49,2))</f>
        <v/>
      </c>
      <c r="E113" s="69">
        <f>IF(LARGE($R$2:$R$25,14)&lt;1,0,LARGE($R$2:$R$25,14))</f>
        <v>0</v>
      </c>
      <c r="F113" s="70">
        <f t="shared" si="3"/>
        <v>0</v>
      </c>
      <c r="G113" s="68">
        <f t="shared" si="4"/>
        <v>0</v>
      </c>
      <c r="H113" s="71"/>
      <c r="I113" s="72" t="str">
        <f t="shared" si="5"/>
        <v/>
      </c>
      <c r="R113" s="45">
        <f t="shared" si="6"/>
        <v>0</v>
      </c>
      <c r="S113" s="45">
        <f t="shared" si="7"/>
        <v>0</v>
      </c>
      <c r="T113" s="73" t="str">
        <f t="shared" si="8"/>
        <v>0</v>
      </c>
    </row>
    <row r="114" spans="3:20" x14ac:dyDescent="0.25">
      <c r="C114" s="67">
        <f>IF(E114&lt;1,0,IF(INT(E114*100)=INT(E113*100),C113,15))</f>
        <v>0</v>
      </c>
      <c r="D114" s="68" t="str">
        <f>IF(OR(C114&lt;1,H114&lt;&gt;"",COUNTIF(T$100:T114,T114)&gt;3),"",VLOOKUP(C114-COUNTA(H$100:H114),DD!$E$24:$F$49,2))</f>
        <v/>
      </c>
      <c r="E114" s="69">
        <f>IF(LARGE($R$2:$R$25,15)&lt;1,0,LARGE($R$2:$R$25,15))</f>
        <v>0</v>
      </c>
      <c r="F114" s="70">
        <f t="shared" si="3"/>
        <v>0</v>
      </c>
      <c r="G114" s="68">
        <f t="shared" si="4"/>
        <v>0</v>
      </c>
      <c r="H114" s="71"/>
      <c r="I114" s="72" t="str">
        <f t="shared" si="5"/>
        <v/>
      </c>
      <c r="R114" s="45">
        <f t="shared" si="6"/>
        <v>0</v>
      </c>
      <c r="S114" s="45">
        <f t="shared" si="7"/>
        <v>0</v>
      </c>
      <c r="T114" s="73" t="str">
        <f t="shared" si="8"/>
        <v>0</v>
      </c>
    </row>
    <row r="115" spans="3:20" x14ac:dyDescent="0.25">
      <c r="C115" s="67">
        <f>IF(E115&lt;1,0,IF(INT(E115*100)=INT(E114*100),C114,16))</f>
        <v>0</v>
      </c>
      <c r="D115" s="68" t="str">
        <f>IF(OR(C115&lt;1,H115&lt;&gt;"",COUNTIF(T$100:T115,T115)&gt;3),"",VLOOKUP(C115-COUNTA(H$100:H115),DD!$E$24:$F$49,2))</f>
        <v/>
      </c>
      <c r="E115" s="69">
        <f>IF(LARGE($R$2:$R$25,16)&lt;1,0,LARGE($R$2:$R$25,16))</f>
        <v>0</v>
      </c>
      <c r="F115" s="70">
        <f t="shared" si="3"/>
        <v>0</v>
      </c>
      <c r="G115" s="68">
        <f t="shared" si="4"/>
        <v>0</v>
      </c>
      <c r="H115" s="71"/>
      <c r="I115" s="72" t="str">
        <f t="shared" si="5"/>
        <v/>
      </c>
      <c r="R115" s="45">
        <f t="shared" si="6"/>
        <v>0</v>
      </c>
      <c r="S115" s="45">
        <f t="shared" si="7"/>
        <v>0</v>
      </c>
      <c r="T115" s="73" t="str">
        <f t="shared" si="8"/>
        <v>0</v>
      </c>
    </row>
    <row r="116" spans="3:20" x14ac:dyDescent="0.25">
      <c r="C116" s="67">
        <f>IF(E116&lt;1,0,IF(INT(E116*100)=INT(E115*100),C115,17))</f>
        <v>0</v>
      </c>
      <c r="D116" s="68" t="str">
        <f>IF(OR(C116&lt;1,H116&lt;&gt;"",COUNTIF(T$100:T116,T116)&gt;3),"",VLOOKUP(C116-COUNTA(H$100:H116),DD!$E$24:$F$49,2))</f>
        <v/>
      </c>
      <c r="E116" s="69">
        <f>IF(LARGE($R$2:$R$25,17)&lt;1,0,LARGE($R$2:$R$25,17))</f>
        <v>0</v>
      </c>
      <c r="F116" s="70">
        <f t="shared" si="3"/>
        <v>0</v>
      </c>
      <c r="G116" s="68">
        <f t="shared" si="4"/>
        <v>0</v>
      </c>
      <c r="H116" s="71"/>
      <c r="I116" s="72" t="str">
        <f t="shared" si="5"/>
        <v/>
      </c>
      <c r="R116" s="45">
        <f t="shared" si="6"/>
        <v>0</v>
      </c>
      <c r="S116" s="45">
        <f t="shared" si="7"/>
        <v>0</v>
      </c>
      <c r="T116" s="73" t="str">
        <f t="shared" si="8"/>
        <v>0</v>
      </c>
    </row>
    <row r="117" spans="3:20" x14ac:dyDescent="0.25">
      <c r="C117" s="67">
        <f>IF(E117&lt;1,0,IF(INT(E117*100)=INT(E116*100),C116,18))</f>
        <v>0</v>
      </c>
      <c r="D117" s="68" t="str">
        <f>IF(OR(C117&lt;1,H117&lt;&gt;"",COUNTIF(T$100:T117,T117)&gt;3),"",VLOOKUP(C117-COUNTA(H$100:H117),DD!$E$24:$F$49,2))</f>
        <v/>
      </c>
      <c r="E117" s="69">
        <f>IF(LARGE($R$2:$R$25,18)&lt;1,0,LARGE($R$2:$R$25,18))</f>
        <v>0</v>
      </c>
      <c r="F117" s="70">
        <f t="shared" si="3"/>
        <v>0</v>
      </c>
      <c r="G117" s="68">
        <f t="shared" si="4"/>
        <v>0</v>
      </c>
      <c r="H117" s="71"/>
      <c r="I117" s="72" t="str">
        <f t="shared" si="5"/>
        <v/>
      </c>
      <c r="R117" s="45">
        <f t="shared" si="6"/>
        <v>0</v>
      </c>
      <c r="S117" s="45">
        <f t="shared" si="7"/>
        <v>0</v>
      </c>
      <c r="T117" s="73" t="str">
        <f t="shared" si="8"/>
        <v>0</v>
      </c>
    </row>
    <row r="118" spans="3:20" x14ac:dyDescent="0.25">
      <c r="C118" s="67">
        <f>IF(E118&lt;1,0,IF(INT(E118*100)=INT(E117*100),C117,19))</f>
        <v>0</v>
      </c>
      <c r="D118" s="68" t="str">
        <f>IF(OR(C118&lt;1,H118&lt;&gt;"",COUNTIF(T$100:T118,T118)&gt;3),"",VLOOKUP(C118-COUNTA(H$100:H118),DD!$E$24:$F$49,2))</f>
        <v/>
      </c>
      <c r="E118" s="69">
        <f>IF(LARGE($R$2:$R$25,19)&lt;1,0,LARGE($R$2:$R$25,19))</f>
        <v>0</v>
      </c>
      <c r="F118" s="70">
        <f t="shared" si="3"/>
        <v>0</v>
      </c>
      <c r="G118" s="68">
        <f t="shared" si="4"/>
        <v>0</v>
      </c>
      <c r="H118" s="71"/>
      <c r="I118" s="72" t="str">
        <f t="shared" si="5"/>
        <v/>
      </c>
      <c r="R118" s="45">
        <f t="shared" si="6"/>
        <v>0</v>
      </c>
      <c r="S118" s="45">
        <f t="shared" si="7"/>
        <v>0</v>
      </c>
      <c r="T118" s="73" t="str">
        <f t="shared" si="8"/>
        <v>0</v>
      </c>
    </row>
    <row r="119" spans="3:20" x14ac:dyDescent="0.25">
      <c r="C119" s="67">
        <f>IF(E119&lt;1,0,IF(INT(E119*100)=INT(E118*100),C118,20))</f>
        <v>0</v>
      </c>
      <c r="D119" s="68" t="str">
        <f>IF(OR(C119&lt;1,H119&lt;&gt;"",COUNTIF(T$100:T119,T119)&gt;3),"",VLOOKUP(C119-COUNTA(H$100:H119),DD!$E$24:$F$49,2))</f>
        <v/>
      </c>
      <c r="E119" s="69">
        <f>IF(LARGE($R$2:$R$25,20)&lt;1,0,LARGE($R$2:$R$25,20))</f>
        <v>0</v>
      </c>
      <c r="F119" s="70">
        <f t="shared" si="3"/>
        <v>0</v>
      </c>
      <c r="G119" s="68">
        <f t="shared" si="4"/>
        <v>0</v>
      </c>
      <c r="H119" s="71"/>
      <c r="I119" s="72" t="str">
        <f t="shared" si="5"/>
        <v/>
      </c>
      <c r="R119" s="45">
        <f t="shared" si="6"/>
        <v>0</v>
      </c>
      <c r="S119" s="45">
        <f t="shared" si="7"/>
        <v>0</v>
      </c>
      <c r="T119" s="73" t="str">
        <f t="shared" si="8"/>
        <v>0</v>
      </c>
    </row>
    <row r="120" spans="3:20" x14ac:dyDescent="0.25">
      <c r="C120" s="67">
        <f>IF(E120&lt;1,0,IF(INT(E120*100)=INT(E119*100),C119,21))</f>
        <v>0</v>
      </c>
      <c r="D120" s="68" t="str">
        <f>IF(OR(C120&lt;1,H120&lt;&gt;"",COUNTIF(T$100:T120,T120)&gt;3),"",VLOOKUP(C120-COUNTA(H$100:H120),DD!$E$24:$F$49,2))</f>
        <v/>
      </c>
      <c r="E120" s="69">
        <f>IF(LARGE($R$2:$R$25,21)&lt;1,0,LARGE($R$2:$R$25,21))</f>
        <v>0</v>
      </c>
      <c r="F120" s="70">
        <f t="shared" si="3"/>
        <v>0</v>
      </c>
      <c r="G120" s="68">
        <f t="shared" si="4"/>
        <v>0</v>
      </c>
      <c r="H120" s="71"/>
      <c r="I120" s="72" t="str">
        <f t="shared" si="5"/>
        <v/>
      </c>
      <c r="R120" s="45">
        <f t="shared" si="6"/>
        <v>0</v>
      </c>
      <c r="S120" s="45">
        <f t="shared" si="7"/>
        <v>0</v>
      </c>
      <c r="T120" s="73" t="str">
        <f t="shared" si="8"/>
        <v>0</v>
      </c>
    </row>
    <row r="121" spans="3:20" x14ac:dyDescent="0.25">
      <c r="C121" s="67">
        <f>IF(E121&lt;1,0,IF(INT(E121*100)=INT(E120*100),C120,22))</f>
        <v>0</v>
      </c>
      <c r="D121" s="68" t="str">
        <f>IF(OR(C121&lt;1,H121&lt;&gt;"",COUNTIF(T$100:T121,T121)&gt;3),"",VLOOKUP(C121-COUNTA(H$100:H121),DD!$E$24:$F$49,2))</f>
        <v/>
      </c>
      <c r="E121" s="69">
        <f>IF(LARGE($R$2:$R$25,22)&lt;1,0,LARGE($R$2:$R$25,22))</f>
        <v>0</v>
      </c>
      <c r="F121" s="70">
        <f t="shared" si="3"/>
        <v>0</v>
      </c>
      <c r="G121" s="68">
        <f t="shared" si="4"/>
        <v>0</v>
      </c>
      <c r="H121" s="71"/>
      <c r="I121" s="72" t="str">
        <f t="shared" si="5"/>
        <v/>
      </c>
      <c r="R121" s="45">
        <f t="shared" si="6"/>
        <v>0</v>
      </c>
      <c r="S121" s="45">
        <f t="shared" si="7"/>
        <v>0</v>
      </c>
      <c r="T121" s="73" t="str">
        <f t="shared" si="8"/>
        <v>0</v>
      </c>
    </row>
    <row r="122" spans="3:20" x14ac:dyDescent="0.25">
      <c r="C122" s="67">
        <f>IF(E122&lt;1,0,IF(INT(E122*100)=INT(E121*100),C121,23))</f>
        <v>0</v>
      </c>
      <c r="D122" s="68" t="str">
        <f>IF(OR(C122&lt;1,H122&lt;&gt;"",COUNTIF(T$100:T122,T122)&gt;3),"",VLOOKUP(C122-COUNTA(H$100:H122),DD!$E$24:$F$49,2))</f>
        <v/>
      </c>
      <c r="E122" s="69">
        <f>IF(LARGE($R$2:$R$25,23)&lt;1,0,LARGE($R$2:$R$25,23))</f>
        <v>0</v>
      </c>
      <c r="F122" s="70">
        <f t="shared" si="3"/>
        <v>0</v>
      </c>
      <c r="G122" s="68">
        <f t="shared" si="4"/>
        <v>0</v>
      </c>
      <c r="H122" s="71"/>
      <c r="I122" s="72" t="str">
        <f t="shared" si="5"/>
        <v/>
      </c>
      <c r="R122" s="45">
        <f t="shared" si="6"/>
        <v>0</v>
      </c>
      <c r="S122" s="45">
        <f t="shared" si="7"/>
        <v>0</v>
      </c>
      <c r="T122" s="73" t="str">
        <f t="shared" si="8"/>
        <v>0</v>
      </c>
    </row>
    <row r="123" spans="3:20" x14ac:dyDescent="0.25">
      <c r="C123" s="67">
        <f>IF(E123&lt;1,0,IF(INT(E123*100)=INT(E122*100),C122,24))</f>
        <v>0</v>
      </c>
      <c r="D123" s="68" t="str">
        <f>IF(OR(C123&lt;1,H123&lt;&gt;"",COUNTIF(T$100:T123,T123)&gt;3),"",VLOOKUP(C123-COUNTA(H$100:H123),DD!$E$24:$F$49,2))</f>
        <v/>
      </c>
      <c r="E123" s="69">
        <f>IF(LARGE($R$2:$R$25,24)&lt;1,0,LARGE($R$2:$R$25,24))</f>
        <v>0</v>
      </c>
      <c r="F123" s="70">
        <f t="shared" si="3"/>
        <v>0</v>
      </c>
      <c r="G123" s="68">
        <f t="shared" si="4"/>
        <v>0</v>
      </c>
      <c r="H123" s="71"/>
      <c r="I123" s="72" t="str">
        <f>IF(AND(C123=C122,C123&lt;&gt;0),"TIE","")</f>
        <v/>
      </c>
      <c r="R123" s="45">
        <f t="shared" si="6"/>
        <v>0</v>
      </c>
      <c r="S123" s="45">
        <f t="shared" si="7"/>
        <v>0</v>
      </c>
      <c r="T123" s="73" t="str">
        <f t="shared" si="8"/>
        <v>0</v>
      </c>
    </row>
    <row r="124" spans="3:20" x14ac:dyDescent="0.25">
      <c r="C124" s="74"/>
      <c r="D124" s="75"/>
      <c r="E124" s="76"/>
      <c r="F124" s="77"/>
      <c r="G124" s="75"/>
      <c r="H124" s="78"/>
      <c r="I124" s="79"/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1035" priority="50">
      <formula>IF(SUM(G2:G3)&gt;3.7,1,0)</formula>
    </cfRule>
  </conditionalFormatting>
  <conditionalFormatting sqref="G2">
    <cfRule type="expression" dxfId="1034" priority="51">
      <formula>IF(SUM(G2:G3)&gt;3.7,1,0)</formula>
    </cfRule>
  </conditionalFormatting>
  <conditionalFormatting sqref="G7">
    <cfRule type="expression" dxfId="1030" priority="55">
      <formula>IF(SUM(G6:G7)&gt;3.7,1,0)</formula>
    </cfRule>
  </conditionalFormatting>
  <conditionalFormatting sqref="G6">
    <cfRule type="expression" dxfId="1029" priority="56">
      <formula>IF(SUM(G6:G7)&gt;3.7,1,0)</formula>
    </cfRule>
  </conditionalFormatting>
  <conditionalFormatting sqref="G11">
    <cfRule type="expression" dxfId="1025" priority="60">
      <formula>IF(SUM(G10:G11)&gt;3.7,1,0)</formula>
    </cfRule>
  </conditionalFormatting>
  <conditionalFormatting sqref="G10">
    <cfRule type="expression" dxfId="1024" priority="61">
      <formula>IF(SUM(G10:G11)&gt;3.7,1,0)</formula>
    </cfRule>
  </conditionalFormatting>
  <conditionalFormatting sqref="G15">
    <cfRule type="expression" dxfId="1020" priority="65">
      <formula>IF(SUM(G14:G15)&gt;3.7,1,0)</formula>
    </cfRule>
  </conditionalFormatting>
  <conditionalFormatting sqref="G14">
    <cfRule type="expression" dxfId="1019" priority="66">
      <formula>IF(SUM(G14:G15)&gt;3.7,1,0)</formula>
    </cfRule>
  </conditionalFormatting>
  <conditionalFormatting sqref="G19">
    <cfRule type="expression" dxfId="1015" priority="70">
      <formula>IF(SUM(G18:G19)&gt;3.7,1,0)</formula>
    </cfRule>
  </conditionalFormatting>
  <conditionalFormatting sqref="G18">
    <cfRule type="expression" dxfId="1014" priority="71">
      <formula>IF(SUM(G18:G19)&gt;3.7,1,0)</formula>
    </cfRule>
  </conditionalFormatting>
  <conditionalFormatting sqref="G23">
    <cfRule type="expression" dxfId="1010" priority="75">
      <formula>IF(SUM(G22:G23)&gt;3.7,1,0)</formula>
    </cfRule>
  </conditionalFormatting>
  <conditionalFormatting sqref="G22">
    <cfRule type="expression" dxfId="1009" priority="76">
      <formula>IF(SUM(G22:G23)&gt;3.7,1,0)</formula>
    </cfRule>
  </conditionalFormatting>
  <conditionalFormatting sqref="G27">
    <cfRule type="expression" dxfId="1005" priority="80">
      <formula>IF(SUM(G26:G27)&gt;3.7,1,0)</formula>
    </cfRule>
  </conditionalFormatting>
  <conditionalFormatting sqref="G26">
    <cfRule type="expression" dxfId="1004" priority="81">
      <formula>IF(SUM(G26:G27)&gt;3.7,1,0)</formula>
    </cfRule>
  </conditionalFormatting>
  <conditionalFormatting sqref="G31">
    <cfRule type="expression" dxfId="1000" priority="85">
      <formula>IF(SUM(G30:G31)&gt;3.7,1,0)</formula>
    </cfRule>
  </conditionalFormatting>
  <conditionalFormatting sqref="G30">
    <cfRule type="expression" dxfId="999" priority="86">
      <formula>IF(SUM(G30:G31)&gt;3.7,1,0)</formula>
    </cfRule>
  </conditionalFormatting>
  <conditionalFormatting sqref="G35">
    <cfRule type="expression" dxfId="995" priority="90">
      <formula>IF(SUM(G34:G35)&gt;3.7,1,0)</formula>
    </cfRule>
  </conditionalFormatting>
  <conditionalFormatting sqref="G34">
    <cfRule type="expression" dxfId="994" priority="91">
      <formula>IF(SUM(G34:G35)&gt;3.7,1,0)</formula>
    </cfRule>
  </conditionalFormatting>
  <conditionalFormatting sqref="G39">
    <cfRule type="expression" dxfId="990" priority="95">
      <formula>IF(SUM(G38:G39)&gt;3.7,1,0)</formula>
    </cfRule>
  </conditionalFormatting>
  <conditionalFormatting sqref="G38">
    <cfRule type="expression" dxfId="989" priority="96">
      <formula>IF(SUM(G38:G39)&gt;3.7,1,0)</formula>
    </cfRule>
  </conditionalFormatting>
  <conditionalFormatting sqref="G43">
    <cfRule type="expression" dxfId="985" priority="100">
      <formula>IF(SUM(G42:G43)&gt;3.7,1,0)</formula>
    </cfRule>
  </conditionalFormatting>
  <conditionalFormatting sqref="G42">
    <cfRule type="expression" dxfId="984" priority="101">
      <formula>IF(SUM(G42:G43)&gt;3.7,1,0)</formula>
    </cfRule>
  </conditionalFormatting>
  <conditionalFormatting sqref="G47">
    <cfRule type="expression" dxfId="980" priority="105">
      <formula>IF(SUM(G46:G47)&gt;3.7,1,0)</formula>
    </cfRule>
  </conditionalFormatting>
  <conditionalFormatting sqref="G46">
    <cfRule type="expression" dxfId="979" priority="106">
      <formula>IF(SUM(G46:G47)&gt;3.7,1,0)</formula>
    </cfRule>
  </conditionalFormatting>
  <conditionalFormatting sqref="G51">
    <cfRule type="expression" dxfId="975" priority="110">
      <formula>IF(SUM(G50:G51)&gt;3.7,1,0)</formula>
    </cfRule>
  </conditionalFormatting>
  <conditionalFormatting sqref="G50">
    <cfRule type="expression" dxfId="974" priority="111">
      <formula>IF(SUM(G50:G51)&gt;3.7,1,0)</formula>
    </cfRule>
  </conditionalFormatting>
  <conditionalFormatting sqref="G55">
    <cfRule type="expression" dxfId="970" priority="115">
      <formula>IF(SUM(G54:G55)&gt;3.7,1,0)</formula>
    </cfRule>
  </conditionalFormatting>
  <conditionalFormatting sqref="G54">
    <cfRule type="expression" dxfId="969" priority="116">
      <formula>IF(SUM(G54:G55)&gt;3.7,1,0)</formula>
    </cfRule>
  </conditionalFormatting>
  <conditionalFormatting sqref="G59">
    <cfRule type="expression" dxfId="965" priority="120">
      <formula>IF(SUM(G58:G59)&gt;3.7,1,0)</formula>
    </cfRule>
  </conditionalFormatting>
  <conditionalFormatting sqref="G58">
    <cfRule type="expression" dxfId="964" priority="121">
      <formula>IF(SUM(G58:G59)&gt;3.7,1,0)</formula>
    </cfRule>
  </conditionalFormatting>
  <conditionalFormatting sqref="G63">
    <cfRule type="expression" dxfId="960" priority="125">
      <formula>IF(SUM(G62:G63)&gt;3.7,1,0)</formula>
    </cfRule>
  </conditionalFormatting>
  <conditionalFormatting sqref="G62">
    <cfRule type="expression" dxfId="959" priority="126">
      <formula>IF(SUM(G62:G63)&gt;3.7,1,0)</formula>
    </cfRule>
  </conditionalFormatting>
  <conditionalFormatting sqref="G67">
    <cfRule type="expression" dxfId="955" priority="130">
      <formula>IF(SUM(G66:G67)&gt;3.7,1,0)</formula>
    </cfRule>
  </conditionalFormatting>
  <conditionalFormatting sqref="G66">
    <cfRule type="expression" dxfId="954" priority="131">
      <formula>IF(SUM(G66:G67)&gt;3.7,1,0)</formula>
    </cfRule>
  </conditionalFormatting>
  <conditionalFormatting sqref="E67">
    <cfRule type="expression" dxfId="953" priority="132">
      <formula>IF(E67="",0,IF(LEFT(E67,1)=LEFT(E66,1),1,0))</formula>
    </cfRule>
  </conditionalFormatting>
  <conditionalFormatting sqref="E69">
    <cfRule type="expression" dxfId="952" priority="133">
      <formula>IF(E69="",0,IF(OR(LEFT(E69,LEN(E69)-1)=LEFT(E68,LEN(E68)-1),LEFT(E69,LEN(E69)-1)=LEFT(E67,LEN(E67)-1),LEFT(E69,LEN(E69)-1)=LEFT(E66,LEN(E66)-1),LEFT(E69,1)=LEFT(E68,1)),1,0))</formula>
    </cfRule>
  </conditionalFormatting>
  <conditionalFormatting sqref="E68">
    <cfRule type="expression" dxfId="951" priority="134">
      <formula>IF(E68="",0,IF(OR(LEFT(E68,LEN(E68)-1)=LEFT(E67,LEN(E67)-1),LEFT(E68,LEN(E68)-1)=LEFT(E66,LEN(E66)-1)),1,0))</formula>
    </cfRule>
  </conditionalFormatting>
  <conditionalFormatting sqref="G71">
    <cfRule type="expression" dxfId="950" priority="135">
      <formula>IF(SUM(G70:G71)&gt;3.7,1,0)</formula>
    </cfRule>
  </conditionalFormatting>
  <conditionalFormatting sqref="G70">
    <cfRule type="expression" dxfId="949" priority="136">
      <formula>IF(SUM(G70:G71)&gt;3.7,1,0)</formula>
    </cfRule>
  </conditionalFormatting>
  <conditionalFormatting sqref="E71">
    <cfRule type="expression" dxfId="948" priority="137">
      <formula>IF(E71="",0,IF(LEFT(E71,1)=LEFT(E70,1),1,0))</formula>
    </cfRule>
  </conditionalFormatting>
  <conditionalFormatting sqref="E73">
    <cfRule type="expression" dxfId="947" priority="138">
      <formula>IF(E73="",0,IF(OR(LEFT(E73,LEN(E73)-1)=LEFT(E72,LEN(E72)-1),LEFT(E73,LEN(E73)-1)=LEFT(E71,LEN(E71)-1),LEFT(E73,LEN(E73)-1)=LEFT(E70,LEN(E70)-1),LEFT(E73,1)=LEFT(E72,1)),1,0))</formula>
    </cfRule>
  </conditionalFormatting>
  <conditionalFormatting sqref="E72">
    <cfRule type="expression" dxfId="946" priority="139">
      <formula>IF(E72="",0,IF(OR(LEFT(E72,LEN(E72)-1)=LEFT(E71,LEN(E71)-1),LEFT(E72,LEN(E72)-1)=LEFT(E70,LEN(E70)-1)),1,0))</formula>
    </cfRule>
  </conditionalFormatting>
  <conditionalFormatting sqref="G75">
    <cfRule type="expression" dxfId="945" priority="140">
      <formula>IF(SUM(G74:G75)&gt;3.7,1,0)</formula>
    </cfRule>
  </conditionalFormatting>
  <conditionalFormatting sqref="G74">
    <cfRule type="expression" dxfId="944" priority="141">
      <formula>IF(SUM(G74:G75)&gt;3.7,1,0)</formula>
    </cfRule>
  </conditionalFormatting>
  <conditionalFormatting sqref="E75">
    <cfRule type="expression" dxfId="943" priority="142">
      <formula>IF(E75="",0,IF(LEFT(E75,1)=LEFT(E74,1),1,0))</formula>
    </cfRule>
  </conditionalFormatting>
  <conditionalFormatting sqref="E77">
    <cfRule type="expression" dxfId="942" priority="143">
      <formula>IF(E77="",0,IF(OR(LEFT(E77,LEN(E77)-1)=LEFT(E76,LEN(E76)-1),LEFT(E77,LEN(E77)-1)=LEFT(E75,LEN(E75)-1),LEFT(E77,LEN(E77)-1)=LEFT(E74,LEN(E74)-1),LEFT(E77,1)=LEFT(E76,1)),1,0))</formula>
    </cfRule>
  </conditionalFormatting>
  <conditionalFormatting sqref="E76">
    <cfRule type="expression" dxfId="941" priority="144">
      <formula>IF(E76="",0,IF(OR(LEFT(E76,LEN(E76)-1)=LEFT(E75,LEN(E75)-1),LEFT(E76,LEN(E76)-1)=LEFT(E74,LEN(E74)-1)),1,0))</formula>
    </cfRule>
  </conditionalFormatting>
  <conditionalFormatting sqref="G79">
    <cfRule type="expression" dxfId="940" priority="145">
      <formula>IF(SUM(G78:G79)&gt;3.7,1,0)</formula>
    </cfRule>
  </conditionalFormatting>
  <conditionalFormatting sqref="G78">
    <cfRule type="expression" dxfId="939" priority="146">
      <formula>IF(SUM(G78:G79)&gt;3.7,1,0)</formula>
    </cfRule>
  </conditionalFormatting>
  <conditionalFormatting sqref="E79">
    <cfRule type="expression" dxfId="938" priority="147">
      <formula>IF(E79="",0,IF(LEFT(E79,1)=LEFT(E78,1),1,0))</formula>
    </cfRule>
  </conditionalFormatting>
  <conditionalFormatting sqref="E81">
    <cfRule type="expression" dxfId="937" priority="148">
      <formula>IF(E81="",0,IF(OR(LEFT(E81,LEN(E81)-1)=LEFT(E80,LEN(E80)-1),LEFT(E81,LEN(E81)-1)=LEFT(E79,LEN(E79)-1),LEFT(E81,LEN(E81)-1)=LEFT(E78,LEN(E78)-1),LEFT(E81,1)=LEFT(E80,1)),1,0))</formula>
    </cfRule>
  </conditionalFormatting>
  <conditionalFormatting sqref="E80">
    <cfRule type="expression" dxfId="936" priority="149">
      <formula>IF(E80="",0,IF(OR(LEFT(E80,LEN(E80)-1)=LEFT(E79,LEN(E79)-1),LEFT(E80,LEN(E80)-1)=LEFT(E78,LEN(E78)-1)),1,0))</formula>
    </cfRule>
  </conditionalFormatting>
  <conditionalFormatting sqref="G83">
    <cfRule type="expression" dxfId="935" priority="150">
      <formula>IF(SUM(G82:G83)&gt;3.7,1,0)</formula>
    </cfRule>
  </conditionalFormatting>
  <conditionalFormatting sqref="G82">
    <cfRule type="expression" dxfId="934" priority="151">
      <formula>IF(SUM(G82:G83)&gt;3.7,1,0)</formula>
    </cfRule>
  </conditionalFormatting>
  <conditionalFormatting sqref="E83">
    <cfRule type="expression" dxfId="933" priority="152">
      <formula>IF(E83="",0,IF(LEFT(E83,1)=LEFT(E82,1),1,0))</formula>
    </cfRule>
  </conditionalFormatting>
  <conditionalFormatting sqref="E85">
    <cfRule type="expression" dxfId="932" priority="153">
      <formula>IF(E85="",0,IF(OR(LEFT(E85,LEN(E85)-1)=LEFT(E84,LEN(E84)-1),LEFT(E85,LEN(E85)-1)=LEFT(E83,LEN(E83)-1),LEFT(E85,LEN(E85)-1)=LEFT(E82,LEN(E82)-1),LEFT(E85,1)=LEFT(E84,1)),1,0))</formula>
    </cfRule>
  </conditionalFormatting>
  <conditionalFormatting sqref="E84">
    <cfRule type="expression" dxfId="931" priority="154">
      <formula>IF(E84="",0,IF(OR(LEFT(E84,LEN(E84)-1)=LEFT(E83,LEN(E83)-1),LEFT(E84,LEN(E84)-1)=LEFT(E82,LEN(E82)-1)),1,0))</formula>
    </cfRule>
  </conditionalFormatting>
  <conditionalFormatting sqref="G87">
    <cfRule type="expression" dxfId="930" priority="155">
      <formula>IF(SUM(G86:G87)&gt;3.7,1,0)</formula>
    </cfRule>
  </conditionalFormatting>
  <conditionalFormatting sqref="G86">
    <cfRule type="expression" dxfId="929" priority="156">
      <formula>IF(SUM(G86:G87)&gt;3.7,1,0)</formula>
    </cfRule>
  </conditionalFormatting>
  <conditionalFormatting sqref="E87">
    <cfRule type="expression" dxfId="928" priority="157">
      <formula>IF(E87="",0,IF(LEFT(E87,1)=LEFT(E86,1),1,0))</formula>
    </cfRule>
  </conditionalFormatting>
  <conditionalFormatting sqref="E89">
    <cfRule type="expression" dxfId="927" priority="158">
      <formula>IF(E89="",0,IF(OR(LEFT(E89,LEN(E89)-1)=LEFT(E88,LEN(E88)-1),LEFT(E89,LEN(E89)-1)=LEFT(E87,LEN(E87)-1),LEFT(E89,LEN(E89)-1)=LEFT(E86,LEN(E86)-1),LEFT(E89,1)=LEFT(E88,1)),1,0))</formula>
    </cfRule>
  </conditionalFormatting>
  <conditionalFormatting sqref="E88">
    <cfRule type="expression" dxfId="926" priority="159">
      <formula>IF(E88="",0,IF(OR(LEFT(E88,LEN(E88)-1)=LEFT(E87,LEN(E87)-1),LEFT(E88,LEN(E88)-1)=LEFT(E86,LEN(E86)-1)),1,0))</formula>
    </cfRule>
  </conditionalFormatting>
  <conditionalFormatting sqref="G91">
    <cfRule type="expression" dxfId="925" priority="160">
      <formula>IF(SUM(G90:G91)&gt;3.7,1,0)</formula>
    </cfRule>
  </conditionalFormatting>
  <conditionalFormatting sqref="G90">
    <cfRule type="expression" dxfId="924" priority="161">
      <formula>IF(SUM(G90:G91)&gt;3.7,1,0)</formula>
    </cfRule>
  </conditionalFormatting>
  <conditionalFormatting sqref="E91">
    <cfRule type="expression" dxfId="923" priority="162">
      <formula>IF(E91="",0,IF(LEFT(E91,1)=LEFT(E90,1),1,0))</formula>
    </cfRule>
  </conditionalFormatting>
  <conditionalFormatting sqref="E93">
    <cfRule type="expression" dxfId="922" priority="163">
      <formula>IF(E93="",0,IF(OR(LEFT(E93,LEN(E93)-1)=LEFT(E92,LEN(E92)-1),LEFT(E93,LEN(E93)-1)=LEFT(E91,LEN(E91)-1),LEFT(E93,LEN(E93)-1)=LEFT(E90,LEN(E90)-1),LEFT(E93,1)=LEFT(E92,1)),1,0))</formula>
    </cfRule>
  </conditionalFormatting>
  <conditionalFormatting sqref="E92">
    <cfRule type="expression" dxfId="921" priority="164">
      <formula>IF(E92="",0,IF(OR(LEFT(E92,LEN(E92)-1)=LEFT(E91,LEN(E91)-1),LEFT(E92,LEN(E92)-1)=LEFT(E90,LEN(E90)-1)),1,0))</formula>
    </cfRule>
  </conditionalFormatting>
  <conditionalFormatting sqref="G95">
    <cfRule type="expression" dxfId="920" priority="165">
      <formula>IF(SUM(G94:G95)&gt;3.7,1,0)</formula>
    </cfRule>
  </conditionalFormatting>
  <conditionalFormatting sqref="G94">
    <cfRule type="expression" dxfId="919" priority="166">
      <formula>IF(SUM(G94:G95)&gt;3.7,1,0)</formula>
    </cfRule>
  </conditionalFormatting>
  <conditionalFormatting sqref="E95">
    <cfRule type="expression" dxfId="918" priority="167">
      <formula>IF(E95="",0,IF(LEFT(E95,1)=LEFT(E94,1),1,0))</formula>
    </cfRule>
  </conditionalFormatting>
  <conditionalFormatting sqref="E97">
    <cfRule type="expression" dxfId="917" priority="168">
      <formula>IF(E97="",0,IF(OR(LEFT(E97,LEN(E97)-1)=LEFT(E96,LEN(E96)-1),LEFT(E97,LEN(E97)-1)=LEFT(E95,LEN(E95)-1),LEFT(E97,LEN(E97)-1)=LEFT(E94,LEN(E94)-1),LEFT(E97,1)=LEFT(E96,1)),1,0))</formula>
    </cfRule>
  </conditionalFormatting>
  <conditionalFormatting sqref="E96">
    <cfRule type="expression" dxfId="916" priority="169">
      <formula>IF(E96="",0,IF(OR(LEFT(E96,LEN(E96)-1)=LEFT(E95,LEN(E95)-1),LEFT(E96,LEN(E96)-1)=LEFT(E94,LEN(E94)-1)),1,0))</formula>
    </cfRule>
  </conditionalFormatting>
  <conditionalFormatting sqref="E3">
    <cfRule type="expression" dxfId="259" priority="48">
      <formula>IF(E3="",FALSE,IF(LEFT(E3,1)=LEFT(E2,1),TRUE,FALSE))</formula>
    </cfRule>
  </conditionalFormatting>
  <conditionalFormatting sqref="E5">
    <cfRule type="expression" dxfId="257" priority="46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255" priority="47">
      <formula>IF(E4="",FALSE,IF(OR(LEFT(E4,LEN(E4)-1)=LEFT(E3,LEN(E3)-1),LEFT(E4,LEN(E4)-1)=LEFT(E2,LEN(E2)-1)),TRUE,FALSE))</formula>
    </cfRule>
  </conditionalFormatting>
  <conditionalFormatting sqref="E7">
    <cfRule type="expression" dxfId="253" priority="45">
      <formula>IF(E7="",FALSE,IF(LEFT(E7,1)=LEFT(E6,1),TRUE,FALSE))</formula>
    </cfRule>
  </conditionalFormatting>
  <conditionalFormatting sqref="E9">
    <cfRule type="expression" dxfId="251" priority="43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249" priority="44">
      <formula>IF(E8="",FALSE,IF(OR(LEFT(E8,LEN(E8)-1)=LEFT(E7,LEN(E7)-1),LEFT(E8,LEN(E8)-1)=LEFT(E6,LEN(E6)-1)),TRUE,FALSE))</formula>
    </cfRule>
  </conditionalFormatting>
  <conditionalFormatting sqref="E11">
    <cfRule type="expression" dxfId="247" priority="42">
      <formula>IF(E11="",FALSE,IF(LEFT(E11,1)=LEFT(E10,1),TRUE,FALSE))</formula>
    </cfRule>
  </conditionalFormatting>
  <conditionalFormatting sqref="E13">
    <cfRule type="expression" dxfId="245" priority="40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243" priority="41">
      <formula>IF(E12="",FALSE,IF(OR(LEFT(E12,LEN(E12)-1)=LEFT(E11,LEN(E11)-1),LEFT(E12,LEN(E12)-1)=LEFT(E10,LEN(E10)-1)),TRUE,FALSE))</formula>
    </cfRule>
  </conditionalFormatting>
  <conditionalFormatting sqref="E15">
    <cfRule type="expression" dxfId="241" priority="39">
      <formula>IF(E15="",FALSE,IF(LEFT(E15,1)=LEFT(E14,1),TRUE,FALSE))</formula>
    </cfRule>
  </conditionalFormatting>
  <conditionalFormatting sqref="E17">
    <cfRule type="expression" dxfId="239" priority="37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237" priority="38">
      <formula>IF(E16="",FALSE,IF(OR(LEFT(E16,LEN(E16)-1)=LEFT(E15,LEN(E15)-1),LEFT(E16,LEN(E16)-1)=LEFT(E14,LEN(E14)-1)),TRUE,FALSE))</formula>
    </cfRule>
  </conditionalFormatting>
  <conditionalFormatting sqref="E19">
    <cfRule type="expression" dxfId="235" priority="36">
      <formula>IF(E19="",FALSE,IF(LEFT(E19,1)=LEFT(E18,1),TRUE,FALSE))</formula>
    </cfRule>
  </conditionalFormatting>
  <conditionalFormatting sqref="E21">
    <cfRule type="expression" dxfId="233" priority="34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231" priority="35">
      <formula>IF(E20="",FALSE,IF(OR(LEFT(E20,LEN(E20)-1)=LEFT(E19,LEN(E19)-1),LEFT(E20,LEN(E20)-1)=LEFT(E18,LEN(E18)-1)),TRUE,FALSE))</formula>
    </cfRule>
  </conditionalFormatting>
  <conditionalFormatting sqref="E23">
    <cfRule type="expression" dxfId="229" priority="33">
      <formula>IF(E23="",FALSE,IF(LEFT(E23,1)=LEFT(E22,1),TRUE,FALSE))</formula>
    </cfRule>
  </conditionalFormatting>
  <conditionalFormatting sqref="E25">
    <cfRule type="expression" dxfId="227" priority="31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225" priority="32">
      <formula>IF(E24="",FALSE,IF(OR(LEFT(E24,LEN(E24)-1)=LEFT(E23,LEN(E23)-1),LEFT(E24,LEN(E24)-1)=LEFT(E22,LEN(E22)-1)),TRUE,FALSE))</formula>
    </cfRule>
  </conditionalFormatting>
  <conditionalFormatting sqref="E27">
    <cfRule type="expression" dxfId="223" priority="30">
      <formula>IF(E27="",FALSE,IF(LEFT(E27,1)=LEFT(E26,1),TRUE,FALSE))</formula>
    </cfRule>
  </conditionalFormatting>
  <conditionalFormatting sqref="E29">
    <cfRule type="expression" dxfId="221" priority="28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219" priority="29">
      <formula>IF(E28="",FALSE,IF(OR(LEFT(E28,LEN(E28)-1)=LEFT(E27,LEN(E27)-1),LEFT(E28,LEN(E28)-1)=LEFT(E26,LEN(E26)-1)),TRUE,FALSE))</formula>
    </cfRule>
  </conditionalFormatting>
  <conditionalFormatting sqref="E31">
    <cfRule type="expression" dxfId="217" priority="27">
      <formula>IF(E31="",FALSE,IF(LEFT(E31,1)=LEFT(E30,1),TRUE,FALSE))</formula>
    </cfRule>
  </conditionalFormatting>
  <conditionalFormatting sqref="E33">
    <cfRule type="expression" dxfId="215" priority="25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213" priority="26">
      <formula>IF(E32="",FALSE,IF(OR(LEFT(E32,LEN(E32)-1)=LEFT(E31,LEN(E31)-1),LEFT(E32,LEN(E32)-1)=LEFT(E30,LEN(E30)-1)),TRUE,FALSE))</formula>
    </cfRule>
  </conditionalFormatting>
  <conditionalFormatting sqref="E35">
    <cfRule type="expression" dxfId="211" priority="24">
      <formula>IF(E35="",FALSE,IF(LEFT(E35,1)=LEFT(E34,1),TRUE,FALSE))</formula>
    </cfRule>
  </conditionalFormatting>
  <conditionalFormatting sqref="E37">
    <cfRule type="expression" dxfId="209" priority="22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207" priority="23">
      <formula>IF(E36="",FALSE,IF(OR(LEFT(E36,LEN(E36)-1)=LEFT(E35,LEN(E35)-1),LEFT(E36,LEN(E36)-1)=LEFT(E34,LEN(E34)-1)),TRUE,FALSE))</formula>
    </cfRule>
  </conditionalFormatting>
  <conditionalFormatting sqref="E39">
    <cfRule type="expression" dxfId="205" priority="21">
      <formula>IF(E39="",FALSE,IF(LEFT(E39,1)=LEFT(E38,1),TRUE,FALSE))</formula>
    </cfRule>
  </conditionalFormatting>
  <conditionalFormatting sqref="E41">
    <cfRule type="expression" dxfId="203" priority="19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201" priority="20">
      <formula>IF(E40="",FALSE,IF(OR(LEFT(E40,LEN(E40)-1)=LEFT(E39,LEN(E39)-1),LEFT(E40,LEN(E40)-1)=LEFT(E38,LEN(E38)-1)),TRUE,FALSE))</formula>
    </cfRule>
  </conditionalFormatting>
  <conditionalFormatting sqref="E43">
    <cfRule type="expression" dxfId="199" priority="18">
      <formula>IF(E43="",FALSE,IF(LEFT(E43,1)=LEFT(E42,1),TRUE,FALSE))</formula>
    </cfRule>
  </conditionalFormatting>
  <conditionalFormatting sqref="E45">
    <cfRule type="expression" dxfId="197" priority="16">
      <formula>IF(E45="",FALSE,IF(OR(LEFT(E45,LEN(E45)-1)=LEFT(E44,LEN(E44)-1),LEFT(E45,LEN(E45)-1)=LEFT(E43,LEN(E43)-1),LEFT(E45,LEN(E45)-1)=LEFT(E42,LEN(E42)-1),LEFT(E45,1)=LEFT(E44,1)),TRUE,FALSE))</formula>
    </cfRule>
  </conditionalFormatting>
  <conditionalFormatting sqref="E44">
    <cfRule type="expression" dxfId="195" priority="17">
      <formula>IF(E44="",FALSE,IF(OR(LEFT(E44,LEN(E44)-1)=LEFT(E43,LEN(E43)-1),LEFT(E44,LEN(E44)-1)=LEFT(E42,LEN(E42)-1)),TRUE,FALSE))</formula>
    </cfRule>
  </conditionalFormatting>
  <conditionalFormatting sqref="E47">
    <cfRule type="expression" dxfId="193" priority="15">
      <formula>IF(E47="",FALSE,IF(LEFT(E47,1)=LEFT(E46,1),TRUE,FALSE))</formula>
    </cfRule>
  </conditionalFormatting>
  <conditionalFormatting sqref="E49">
    <cfRule type="expression" dxfId="191" priority="13">
      <formula>IF(E49="",FALSE,IF(OR(LEFT(E49,LEN(E49)-1)=LEFT(E48,LEN(E48)-1),LEFT(E49,LEN(E49)-1)=LEFT(E47,LEN(E47)-1),LEFT(E49,LEN(E49)-1)=LEFT(E46,LEN(E46)-1),LEFT(E49,1)=LEFT(E48,1)),TRUE,FALSE))</formula>
    </cfRule>
  </conditionalFormatting>
  <conditionalFormatting sqref="E48">
    <cfRule type="expression" dxfId="189" priority="14">
      <formula>IF(E48="",FALSE,IF(OR(LEFT(E48,LEN(E48)-1)=LEFT(E47,LEN(E47)-1),LEFT(E48,LEN(E48)-1)=LEFT(E46,LEN(E46)-1)),TRUE,FALSE))</formula>
    </cfRule>
  </conditionalFormatting>
  <conditionalFormatting sqref="E51">
    <cfRule type="expression" dxfId="187" priority="12">
      <formula>IF(E51="",FALSE,IF(LEFT(E51,1)=LEFT(E50,1),TRUE,FALSE))</formula>
    </cfRule>
  </conditionalFormatting>
  <conditionalFormatting sqref="E53">
    <cfRule type="expression" dxfId="185" priority="10">
      <formula>IF(E53="",FALSE,IF(OR(LEFT(E53,LEN(E53)-1)=LEFT(E52,LEN(E52)-1),LEFT(E53,LEN(E53)-1)=LEFT(E51,LEN(E51)-1),LEFT(E53,LEN(E53)-1)=LEFT(E50,LEN(E50)-1),LEFT(E53,1)=LEFT(E52,1)),TRUE,FALSE))</formula>
    </cfRule>
  </conditionalFormatting>
  <conditionalFormatting sqref="E52">
    <cfRule type="expression" dxfId="183" priority="11">
      <formula>IF(E52="",FALSE,IF(OR(LEFT(E52,LEN(E52)-1)=LEFT(E51,LEN(E51)-1),LEFT(E52,LEN(E52)-1)=LEFT(E50,LEN(E50)-1)),TRUE,FALSE))</formula>
    </cfRule>
  </conditionalFormatting>
  <conditionalFormatting sqref="E55">
    <cfRule type="expression" dxfId="181" priority="9">
      <formula>IF(E55="",FALSE,IF(LEFT(E55,1)=LEFT(E54,1),TRUE,FALSE))</formula>
    </cfRule>
  </conditionalFormatting>
  <conditionalFormatting sqref="E57">
    <cfRule type="expression" dxfId="179" priority="7">
      <formula>IF(E57="",FALSE,IF(OR(LEFT(E57,LEN(E57)-1)=LEFT(E56,LEN(E56)-1),LEFT(E57,LEN(E57)-1)=LEFT(E55,LEN(E55)-1),LEFT(E57,LEN(E57)-1)=LEFT(E54,LEN(E54)-1),LEFT(E57,1)=LEFT(E56,1)),TRUE,FALSE))</formula>
    </cfRule>
  </conditionalFormatting>
  <conditionalFormatting sqref="E56">
    <cfRule type="expression" dxfId="177" priority="8">
      <formula>IF(E56="",FALSE,IF(OR(LEFT(E56,LEN(E56)-1)=LEFT(E55,LEN(E55)-1),LEFT(E56,LEN(E56)-1)=LEFT(E54,LEN(E54)-1)),TRUE,FALSE))</formula>
    </cfRule>
  </conditionalFormatting>
  <conditionalFormatting sqref="E59">
    <cfRule type="expression" dxfId="175" priority="6">
      <formula>IF(E59="",FALSE,IF(LEFT(E59,1)=LEFT(E58,1),TRUE,FALSE))</formula>
    </cfRule>
  </conditionalFormatting>
  <conditionalFormatting sqref="E61">
    <cfRule type="expression" dxfId="173" priority="4">
      <formula>IF(E61="",FALSE,IF(OR(LEFT(E61,LEN(E61)-1)=LEFT(E60,LEN(E60)-1),LEFT(E61,LEN(E61)-1)=LEFT(E59,LEN(E59)-1),LEFT(E61,LEN(E61)-1)=LEFT(E58,LEN(E58)-1),LEFT(E61,1)=LEFT(E60,1)),TRUE,FALSE))</formula>
    </cfRule>
  </conditionalFormatting>
  <conditionalFormatting sqref="E60">
    <cfRule type="expression" dxfId="171" priority="5">
      <formula>IF(E60="",FALSE,IF(OR(LEFT(E60,LEN(E60)-1)=LEFT(E59,LEN(E59)-1),LEFT(E60,LEN(E60)-1)=LEFT(E58,LEN(E58)-1)),TRUE,FALSE))</formula>
    </cfRule>
  </conditionalFormatting>
  <conditionalFormatting sqref="E63">
    <cfRule type="expression" dxfId="169" priority="3">
      <formula>IF(E63="",FALSE,IF(LEFT(E63,1)=LEFT(E62,1),TRUE,FALSE))</formula>
    </cfRule>
  </conditionalFormatting>
  <conditionalFormatting sqref="E65">
    <cfRule type="expression" dxfId="167" priority="1">
      <formula>IF(E65="",FALSE,IF(OR(LEFT(E65,LEN(E65)-1)=LEFT(E64,LEN(E64)-1),LEFT(E65,LEN(E65)-1)=LEFT(E63,LEN(E63)-1),LEFT(E65,LEN(E65)-1)=LEFT(E62,LEN(E62)-1),LEFT(E65,1)=LEFT(E64,1)),TRUE,FALSE))</formula>
    </cfRule>
  </conditionalFormatting>
  <conditionalFormatting sqref="E64">
    <cfRule type="expression" dxfId="165" priority="2">
      <formula>IF(E64="",FALSE,IF(OR(LEFT(E64,LEN(E64)-1)=LEFT(E63,LEN(E63)-1),LEFT(E64,LEN(E64)-1)=LEFT(E62,LEN(E62)-1)),TRUE,FALSE))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C14</xm:sqref>
        </x14:dataValidation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C2:C13 C15:C97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H2:L97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4"/>
  <sheetViews>
    <sheetView zoomScaleNormal="100" workbookViewId="0">
      <pane ySplit="1" topLeftCell="A90" activePane="bottomLeft" state="frozen"/>
      <selection activeCell="D1" sqref="D1"/>
      <selection pane="bottomLeft" activeCell="M56" sqref="M56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8.570312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4.7109375" style="45" hidden="1" customWidth="1"/>
    <col min="20" max="20" width="9.14062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ht="15" customHeight="1" x14ac:dyDescent="0.25">
      <c r="A2" s="97">
        <v>1</v>
      </c>
      <c r="B2" s="107" t="s">
        <v>143</v>
      </c>
      <c r="C2" s="106" t="s">
        <v>44</v>
      </c>
      <c r="D2" s="46">
        <v>1</v>
      </c>
      <c r="E2" s="50" t="s">
        <v>45</v>
      </c>
      <c r="F2" s="45" t="str">
        <f>IF($E2="","",IF(ISNA(VLOOKUP($E2,DD!$A$2:$C$150,2,0)),"NO SUCH DIVE",VLOOKUP($E2,DD!$A$2:$C$150,2,0)))</f>
        <v>Front jump tuck</v>
      </c>
      <c r="G2" s="51">
        <f>IF($E2="","",IF(ISNA(VLOOKUP($E2,DD!$A$2:$C$150,3,0)),"",VLOOKUP($E2,DD!$A$2:$C$150,3,0)))</f>
        <v>0.6</v>
      </c>
      <c r="H2" s="52">
        <v>4</v>
      </c>
      <c r="I2" s="52">
        <v>4</v>
      </c>
      <c r="J2" s="52">
        <v>5</v>
      </c>
      <c r="K2" s="52">
        <v>4.5</v>
      </c>
      <c r="L2" s="52">
        <v>4.5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7.8</v>
      </c>
      <c r="O2" s="45">
        <f>IF(N2="","",N2)</f>
        <v>7.8</v>
      </c>
      <c r="R2" s="53">
        <f>O5+0.000001</f>
        <v>70.100000999999992</v>
      </c>
      <c r="S2" s="53" t="str">
        <f>B2</f>
        <v>Olivia Wood</v>
      </c>
      <c r="T2" s="53" t="str">
        <f>C2</f>
        <v>MWAC</v>
      </c>
    </row>
    <row r="3" spans="1:20" x14ac:dyDescent="0.25">
      <c r="A3" s="97"/>
      <c r="B3" s="107"/>
      <c r="C3" s="106"/>
      <c r="D3" s="46">
        <v>2</v>
      </c>
      <c r="E3" s="50" t="s">
        <v>58</v>
      </c>
      <c r="F3" s="45" t="str">
        <f>IF($E3="","",IF(ISNA(VLOOKUP($E3,DD!$A$2:$C$150,2,0)),"NO SUCH DIVE",VLOOKUP($E3,DD!$A$2:$C$150,2,0)))</f>
        <v>Back dive layout</v>
      </c>
      <c r="G3" s="51">
        <f>IF($E3="","",IF(ISNA(VLOOKUP($E3,DD!$A$2:$C$150,3,0)),"",VLOOKUP($E3,DD!$A$2:$C$150,3,0)))</f>
        <v>1.4</v>
      </c>
      <c r="H3" s="52">
        <v>6.5</v>
      </c>
      <c r="I3" s="52">
        <v>6.5</v>
      </c>
      <c r="J3" s="52">
        <v>5.5</v>
      </c>
      <c r="K3" s="52">
        <v>6.5</v>
      </c>
      <c r="L3" s="52">
        <v>7</v>
      </c>
      <c r="M3" s="50"/>
      <c r="N3" s="45">
        <f t="shared" si="0"/>
        <v>27.299999999999997</v>
      </c>
      <c r="O3" s="45">
        <f>IF(N3="","",N3+O2)</f>
        <v>35.099999999999994</v>
      </c>
      <c r="R3" s="53">
        <f>O9+0.000002</f>
        <v>134.05000200000001</v>
      </c>
      <c r="S3" s="53" t="str">
        <f>B6</f>
        <v>Zoe Morinville</v>
      </c>
      <c r="T3" s="53" t="str">
        <f>C6</f>
        <v>Cedar</v>
      </c>
    </row>
    <row r="4" spans="1:20" x14ac:dyDescent="0.25">
      <c r="A4" s="97"/>
      <c r="B4" s="107"/>
      <c r="C4" s="106"/>
      <c r="D4" s="46">
        <v>3</v>
      </c>
      <c r="E4" s="62" t="s">
        <v>54</v>
      </c>
      <c r="F4" s="45" t="str">
        <f>IF($E4="","",IF(ISNA(VLOOKUP($E4,DD!$A$2:$C$150,2,0)),"NO SUCH DIVE",VLOOKUP($E4,DD!$A$2:$C$150,2,0)))</f>
        <v>Front dive layout</v>
      </c>
      <c r="G4" s="46">
        <f>IF($E4="","",IF(ISNA(VLOOKUP($E4,DD!$A$2:$C$150,3,0)),"",VLOOKUP($E4,DD!$A$2:$C$150,3,0)))</f>
        <v>1.3</v>
      </c>
      <c r="H4" s="52">
        <v>4.5</v>
      </c>
      <c r="I4" s="52">
        <v>4</v>
      </c>
      <c r="J4" s="52">
        <v>5</v>
      </c>
      <c r="K4" s="52">
        <v>4.5</v>
      </c>
      <c r="L4" s="52">
        <v>5.5</v>
      </c>
      <c r="M4" s="50"/>
      <c r="N4" s="45">
        <f t="shared" si="0"/>
        <v>18.2</v>
      </c>
      <c r="O4" s="45">
        <f>IF(N4="","",N4+O3)</f>
        <v>53.3</v>
      </c>
      <c r="R4" s="53">
        <f>O13+0.000003</f>
        <v>94.050003000000004</v>
      </c>
      <c r="S4" s="53" t="str">
        <f>B10</f>
        <v>Holly Cameron</v>
      </c>
      <c r="T4" s="53" t="str">
        <f>C10</f>
        <v>Vik</v>
      </c>
    </row>
    <row r="5" spans="1:20" x14ac:dyDescent="0.25">
      <c r="A5" s="97"/>
      <c r="B5" s="107"/>
      <c r="C5" s="106"/>
      <c r="D5" s="46">
        <v>4</v>
      </c>
      <c r="E5" s="50" t="s">
        <v>64</v>
      </c>
      <c r="F5" s="45" t="str">
        <f>IF($E5="","",IF(ISNA(VLOOKUP($E5,DD!$A$2:$C$150,2,0)),"NO SUCH DIVE",VLOOKUP($E5,DD!$A$2:$C$150,2,0)))</f>
        <v>Back dive ½ twist layout</v>
      </c>
      <c r="G5" s="46">
        <f>IF($E5="","",IF(ISNA(VLOOKUP($E5,DD!$A$2:$C$150,3,0)),"",VLOOKUP($E5,DD!$A$2:$C$150,3,0)))</f>
        <v>1.4</v>
      </c>
      <c r="H5" s="52">
        <v>4</v>
      </c>
      <c r="I5" s="52">
        <v>4</v>
      </c>
      <c r="J5" s="52">
        <v>4</v>
      </c>
      <c r="K5" s="52">
        <v>4</v>
      </c>
      <c r="L5" s="52">
        <v>4</v>
      </c>
      <c r="M5" s="50"/>
      <c r="N5" s="45">
        <f t="shared" si="0"/>
        <v>16.799999999999997</v>
      </c>
      <c r="O5" s="54">
        <f>IF(N5="",0,N5+O4)</f>
        <v>70.099999999999994</v>
      </c>
      <c r="R5" s="53">
        <f>O17+0.000004</f>
        <v>84.100003999999998</v>
      </c>
      <c r="S5" s="53" t="str">
        <f>B14</f>
        <v>Lea Beluse</v>
      </c>
      <c r="T5" s="53" t="str">
        <f>C14</f>
        <v>WLRC</v>
      </c>
    </row>
    <row r="6" spans="1:20" ht="15" customHeight="1" x14ac:dyDescent="0.25">
      <c r="A6" s="100">
        <v>2</v>
      </c>
      <c r="B6" s="101" t="s">
        <v>144</v>
      </c>
      <c r="C6" s="102" t="s">
        <v>57</v>
      </c>
      <c r="D6" s="55">
        <v>1</v>
      </c>
      <c r="E6" s="56" t="s">
        <v>145</v>
      </c>
      <c r="F6" s="57" t="str">
        <f>IF($E6="","",IF(ISNA(VLOOKUP($E6,DD!$A$2:$C$150,2,0)),"NO SUCH DIVE",VLOOKUP($E6,DD!$A$2:$C$150,2,0)))</f>
        <v>Front somersault ½ twist layout</v>
      </c>
      <c r="G6" s="58">
        <f>IF($E6="","",IF(ISNA(VLOOKUP($E6,DD!$A$2:$C$150,3,0)),"",VLOOKUP($E6,DD!$A$2:$C$150,3,0)))</f>
        <v>1.9</v>
      </c>
      <c r="H6" s="59">
        <v>8</v>
      </c>
      <c r="I6" s="59">
        <v>5.5</v>
      </c>
      <c r="J6" s="59">
        <v>8</v>
      </c>
      <c r="K6" s="59">
        <v>7.5</v>
      </c>
      <c r="L6" s="59">
        <v>7</v>
      </c>
      <c r="M6" s="56"/>
      <c r="N6" s="57">
        <f t="shared" si="0"/>
        <v>42.75</v>
      </c>
      <c r="O6" s="57">
        <f>IF(N6="","",N6)</f>
        <v>42.75</v>
      </c>
      <c r="R6" s="53">
        <f>O21+0.000005</f>
        <v>94.750005000000002</v>
      </c>
      <c r="S6" s="53" t="str">
        <f>B18</f>
        <v>Cassandra Johnson</v>
      </c>
      <c r="T6" s="53" t="str">
        <f>C18</f>
        <v>HCP</v>
      </c>
    </row>
    <row r="7" spans="1:20" x14ac:dyDescent="0.25">
      <c r="A7" s="100"/>
      <c r="B7" s="101"/>
      <c r="C7" s="102"/>
      <c r="D7" s="55">
        <v>2</v>
      </c>
      <c r="E7" s="56" t="s">
        <v>146</v>
      </c>
      <c r="F7" s="57" t="str">
        <f>IF($E7="","",IF(ISNA(VLOOKUP($E7,DD!$A$2:$C$150,2,0)),"NO SUCH DIVE",VLOOKUP($E7,DD!$A$2:$C$150,2,0)))</f>
        <v>Back somersault layout</v>
      </c>
      <c r="G7" s="58">
        <f>IF($E7="","",IF(ISNA(VLOOKUP($E7,DD!$A$2:$C$150,3,0)),"",VLOOKUP($E7,DD!$A$2:$C$150,3,0)))</f>
        <v>1.7</v>
      </c>
      <c r="H7" s="59">
        <v>6</v>
      </c>
      <c r="I7" s="59">
        <v>5</v>
      </c>
      <c r="J7" s="59">
        <v>7</v>
      </c>
      <c r="K7" s="59">
        <v>7</v>
      </c>
      <c r="L7" s="59">
        <v>7</v>
      </c>
      <c r="M7" s="56"/>
      <c r="N7" s="57">
        <f t="shared" si="0"/>
        <v>34</v>
      </c>
      <c r="O7" s="57">
        <f>IF(N7="","",N7+O6)</f>
        <v>76.75</v>
      </c>
      <c r="R7" s="53">
        <f>O25+0.000006</f>
        <v>6.0000000000000002E-6</v>
      </c>
      <c r="S7" s="53">
        <f>B22</f>
        <v>0</v>
      </c>
      <c r="T7" s="53">
        <f>C22</f>
        <v>0</v>
      </c>
    </row>
    <row r="8" spans="1:20" x14ac:dyDescent="0.25">
      <c r="A8" s="100"/>
      <c r="B8" s="101"/>
      <c r="C8" s="102"/>
      <c r="D8" s="55">
        <v>3</v>
      </c>
      <c r="E8" s="56" t="s">
        <v>147</v>
      </c>
      <c r="F8" s="57" t="str">
        <f>IF($E8="","",IF(ISNA(VLOOKUP($E8,DD!$A$2:$C$150,2,0)),"NO SUCH DIVE",VLOOKUP($E8,DD!$A$2:$C$150,2,0)))</f>
        <v>Front  1 ½ somersault pike</v>
      </c>
      <c r="G8" s="55">
        <f>IF($E8="","",IF(ISNA(VLOOKUP($E8,DD!$A$2:$C$150,3,0)),"",VLOOKUP($E8,DD!$A$2:$C$150,3,0)))</f>
        <v>1.7</v>
      </c>
      <c r="H8" s="59">
        <v>6.5</v>
      </c>
      <c r="I8" s="59">
        <v>6</v>
      </c>
      <c r="J8" s="59">
        <v>7.5</v>
      </c>
      <c r="K8" s="59">
        <v>6.5</v>
      </c>
      <c r="L8" s="59">
        <v>6.5</v>
      </c>
      <c r="M8" s="56"/>
      <c r="N8" s="57">
        <f t="shared" si="0"/>
        <v>33.15</v>
      </c>
      <c r="O8" s="57">
        <f>IF(N8="","",N8+O7)</f>
        <v>109.9</v>
      </c>
      <c r="R8" s="53">
        <f>O29+0.000007</f>
        <v>81.150007000000002</v>
      </c>
      <c r="S8" s="53" t="str">
        <f>B26</f>
        <v>Kelly Patrouille</v>
      </c>
      <c r="T8" s="53" t="str">
        <f>C26</f>
        <v>PVPC</v>
      </c>
    </row>
    <row r="9" spans="1:20" x14ac:dyDescent="0.25">
      <c r="A9" s="100"/>
      <c r="B9" s="101"/>
      <c r="C9" s="102"/>
      <c r="D9" s="55">
        <v>4</v>
      </c>
      <c r="E9" s="56" t="s">
        <v>148</v>
      </c>
      <c r="F9" s="57" t="str">
        <f>IF($E9="","",IF(ISNA(VLOOKUP($E9,DD!$A$2:$C$150,2,0)),"NO SUCH DIVE",VLOOKUP($E9,DD!$A$2:$C$150,2,0)))</f>
        <v>Front 1 ½ somersault, ½ twist pike</v>
      </c>
      <c r="G9" s="55">
        <f>IF($E9="","",IF(ISNA(VLOOKUP($E9,DD!$A$2:$C$150,3,0)),"",VLOOKUP($E9,DD!$A$2:$C$150,3,0)))</f>
        <v>2.1</v>
      </c>
      <c r="H9" s="59">
        <v>4</v>
      </c>
      <c r="I9" s="59">
        <v>4.5</v>
      </c>
      <c r="J9" s="59">
        <v>3</v>
      </c>
      <c r="K9" s="59">
        <v>3</v>
      </c>
      <c r="L9" s="59">
        <v>4.5</v>
      </c>
      <c r="M9" s="56"/>
      <c r="N9" s="57">
        <f t="shared" si="0"/>
        <v>24.150000000000002</v>
      </c>
      <c r="O9" s="60">
        <f>IF(N9="",0,N9+O8)</f>
        <v>134.05000000000001</v>
      </c>
      <c r="R9" s="53">
        <f>O33+0.000008</f>
        <v>7.9999999999999996E-6</v>
      </c>
      <c r="S9" s="53">
        <f>B30</f>
        <v>0</v>
      </c>
      <c r="T9" s="53">
        <f>C30</f>
        <v>0</v>
      </c>
    </row>
    <row r="10" spans="1:20" ht="15" customHeight="1" x14ac:dyDescent="0.25">
      <c r="A10" s="97">
        <v>3</v>
      </c>
      <c r="B10" s="107" t="s">
        <v>149</v>
      </c>
      <c r="C10" s="106" t="s">
        <v>150</v>
      </c>
      <c r="D10" s="46">
        <v>1</v>
      </c>
      <c r="E10" s="50" t="s">
        <v>89</v>
      </c>
      <c r="F10" s="45" t="str">
        <f>IF($E10="","",IF(ISNA(VLOOKUP($E10,DD!$A$2:$C$150,2,0)),"NO SUCH DIVE",VLOOKUP($E10,DD!$A$2:$C$150,2,0)))</f>
        <v>Front dive tuck</v>
      </c>
      <c r="G10" s="51">
        <f>IF($E10="","",IF(ISNA(VLOOKUP($E10,DD!$A$2:$C$150,3,0)),"",VLOOKUP($E10,DD!$A$2:$C$150,3,0)))</f>
        <v>1.3</v>
      </c>
      <c r="H10" s="52">
        <v>5</v>
      </c>
      <c r="I10" s="52">
        <v>6</v>
      </c>
      <c r="J10" s="52">
        <v>6.5</v>
      </c>
      <c r="K10" s="52">
        <v>6</v>
      </c>
      <c r="L10" s="52">
        <v>6.5</v>
      </c>
      <c r="M10" s="50"/>
      <c r="N10" s="45">
        <f t="shared" si="0"/>
        <v>24.05</v>
      </c>
      <c r="O10" s="45">
        <f>IF(N10="","",N10)</f>
        <v>24.05</v>
      </c>
      <c r="R10" s="53">
        <f>O37+0.000009</f>
        <v>114.850009</v>
      </c>
      <c r="S10" s="53" t="str">
        <f>B34</f>
        <v>Katya Stogornyuk</v>
      </c>
      <c r="T10" s="53" t="str">
        <f>C34</f>
        <v>Cedar</v>
      </c>
    </row>
    <row r="11" spans="1:20" x14ac:dyDescent="0.25">
      <c r="A11" s="97"/>
      <c r="B11" s="107"/>
      <c r="C11" s="106"/>
      <c r="D11" s="46">
        <v>2</v>
      </c>
      <c r="E11" s="50" t="s">
        <v>58</v>
      </c>
      <c r="F11" s="45" t="str">
        <f>IF($E11="","",IF(ISNA(VLOOKUP($E11,DD!$A$2:$C$150,2,0)),"NO SUCH DIVE",VLOOKUP($E11,DD!$A$2:$C$150,2,0)))</f>
        <v>Back dive layout</v>
      </c>
      <c r="G11" s="51">
        <f>IF($E11="","",IF(ISNA(VLOOKUP($E11,DD!$A$2:$C$150,3,0)),"",VLOOKUP($E11,DD!$A$2:$C$150,3,0)))</f>
        <v>1.4</v>
      </c>
      <c r="H11" s="52">
        <v>9</v>
      </c>
      <c r="I11" s="52">
        <v>6.5</v>
      </c>
      <c r="J11" s="52">
        <v>8.5</v>
      </c>
      <c r="K11" s="52">
        <v>8.5</v>
      </c>
      <c r="L11" s="52">
        <v>7.5</v>
      </c>
      <c r="M11" s="50"/>
      <c r="N11" s="45">
        <f t="shared" si="0"/>
        <v>34.299999999999997</v>
      </c>
      <c r="O11" s="45">
        <f>IF(N11="","",N11+O10)</f>
        <v>58.349999999999994</v>
      </c>
      <c r="R11" s="53">
        <f>O41+0.00001</f>
        <v>1.0000000000000001E-5</v>
      </c>
      <c r="S11" s="53">
        <f>B38</f>
        <v>0</v>
      </c>
      <c r="T11" s="53">
        <f>C38</f>
        <v>0</v>
      </c>
    </row>
    <row r="12" spans="1:20" x14ac:dyDescent="0.25">
      <c r="A12" s="97"/>
      <c r="B12" s="107"/>
      <c r="C12" s="106"/>
      <c r="D12" s="46">
        <v>3</v>
      </c>
      <c r="E12" s="50" t="s">
        <v>64</v>
      </c>
      <c r="F12" s="45" t="str">
        <f>IF($E12="","",IF(ISNA(VLOOKUP($E12,DD!$A$2:$C$150,2,0)),"NO SUCH DIVE",VLOOKUP($E12,DD!$A$2:$C$150,2,0)))</f>
        <v>Back dive ½ twist layout</v>
      </c>
      <c r="G12" s="46">
        <f>IF($E12="","",IF(ISNA(VLOOKUP($E12,DD!$A$2:$C$150,3,0)),"",VLOOKUP($E12,DD!$A$2:$C$150,3,0)))</f>
        <v>1.4</v>
      </c>
      <c r="H12" s="52">
        <v>4</v>
      </c>
      <c r="I12" s="52">
        <v>4</v>
      </c>
      <c r="J12" s="52">
        <v>4</v>
      </c>
      <c r="K12" s="52">
        <v>4.5</v>
      </c>
      <c r="L12" s="52">
        <v>5</v>
      </c>
      <c r="M12" s="50"/>
      <c r="N12" s="45">
        <f t="shared" si="0"/>
        <v>17.5</v>
      </c>
      <c r="O12" s="45">
        <f>IF(N12="","",N12+O11)</f>
        <v>75.849999999999994</v>
      </c>
      <c r="R12" s="53">
        <f>O45+0.000011</f>
        <v>99.700010999999989</v>
      </c>
      <c r="S12" s="53" t="str">
        <f>B42</f>
        <v>Zoe Nelson</v>
      </c>
      <c r="T12" s="53" t="str">
        <f>C42</f>
        <v>HCP</v>
      </c>
    </row>
    <row r="13" spans="1:20" x14ac:dyDescent="0.25">
      <c r="A13" s="97"/>
      <c r="B13" s="107"/>
      <c r="C13" s="106"/>
      <c r="D13" s="46">
        <v>4</v>
      </c>
      <c r="E13" s="50" t="s">
        <v>72</v>
      </c>
      <c r="F13" s="45" t="str">
        <f>IF($E13="","",IF(ISNA(VLOOKUP($E13,DD!$A$2:$C$150,2,0)),"NO SUCH DIVE",VLOOKUP($E13,DD!$A$2:$C$150,2,0)))</f>
        <v>Front somersault tuck</v>
      </c>
      <c r="G13" s="46">
        <f>IF($E13="","",IF(ISNA(VLOOKUP($E13,DD!$A$2:$C$150,3,0)),"",VLOOKUP($E13,DD!$A$2:$C$150,3,0)))</f>
        <v>1.4</v>
      </c>
      <c r="H13" s="52">
        <v>4</v>
      </c>
      <c r="I13" s="52">
        <v>4</v>
      </c>
      <c r="J13" s="52">
        <v>5</v>
      </c>
      <c r="K13" s="52">
        <v>4</v>
      </c>
      <c r="L13" s="52">
        <v>5</v>
      </c>
      <c r="M13" s="50"/>
      <c r="N13" s="45">
        <f t="shared" si="0"/>
        <v>18.2</v>
      </c>
      <c r="O13" s="54">
        <f>IF(N13="",0,N13+O12)</f>
        <v>94.05</v>
      </c>
      <c r="R13" s="53">
        <f>O49+0.000012</f>
        <v>87.350011999999992</v>
      </c>
      <c r="S13" s="53" t="str">
        <f>B46</f>
        <v>Shibon Morgan-Tracey</v>
      </c>
      <c r="T13" s="53" t="str">
        <f>C46</f>
        <v>PVPC</v>
      </c>
    </row>
    <row r="14" spans="1:20" ht="15" customHeight="1" x14ac:dyDescent="0.25">
      <c r="A14" s="100">
        <v>4</v>
      </c>
      <c r="B14" s="101" t="s">
        <v>151</v>
      </c>
      <c r="C14" s="102" t="s">
        <v>88</v>
      </c>
      <c r="D14" s="55">
        <v>1</v>
      </c>
      <c r="E14" s="56" t="s">
        <v>118</v>
      </c>
      <c r="F14" s="57" t="str">
        <f>IF($E14="","",IF(ISNA(VLOOKUP($E14,DD!$A$2:$C$150,2,0)),"NO SUCH DIVE",VLOOKUP($E14,DD!$A$2:$C$150,2,0)))</f>
        <v>Front dive tuck</v>
      </c>
      <c r="G14" s="58">
        <f>IF($E14="","",IF(ISNA(VLOOKUP($E14,DD!$A$2:$C$150,3,0)),"",VLOOKUP($E14,DD!$A$2:$C$150,3,0)))</f>
        <v>1.3</v>
      </c>
      <c r="H14" s="59">
        <v>6</v>
      </c>
      <c r="I14" s="59">
        <v>5.5</v>
      </c>
      <c r="J14" s="59">
        <v>7</v>
      </c>
      <c r="K14" s="59">
        <v>7</v>
      </c>
      <c r="L14" s="59">
        <v>6</v>
      </c>
      <c r="M14" s="56"/>
      <c r="N14" s="57">
        <f t="shared" si="0"/>
        <v>24.7</v>
      </c>
      <c r="O14" s="57">
        <f>IF(N14="","",N14)</f>
        <v>24.7</v>
      </c>
      <c r="R14" s="53">
        <f>O53+0.000013</f>
        <v>1.2999999999999999E-5</v>
      </c>
      <c r="S14" s="53">
        <f>B50</f>
        <v>0</v>
      </c>
      <c r="T14" s="53">
        <f>C50</f>
        <v>0</v>
      </c>
    </row>
    <row r="15" spans="1:20" x14ac:dyDescent="0.25">
      <c r="A15" s="100"/>
      <c r="B15" s="101"/>
      <c r="C15" s="102"/>
      <c r="D15" s="55">
        <v>2</v>
      </c>
      <c r="E15" s="61" t="s">
        <v>129</v>
      </c>
      <c r="F15" s="57" t="str">
        <f>IF($E15="","",IF(ISNA(VLOOKUP($E15,DD!$A$2:$C$150,2,0)),"NO SUCH DIVE",VLOOKUP($E15,DD!$A$2:$C$150,2,0)))</f>
        <v>Back fall in</v>
      </c>
      <c r="G15" s="58">
        <f>IF($E15="","",IF(ISNA(VLOOKUP($E15,DD!$A$2:$C$150,3,0)),"",VLOOKUP($E15,DD!$A$2:$C$150,3,0)))</f>
        <v>1</v>
      </c>
      <c r="H15" s="59">
        <v>5.5</v>
      </c>
      <c r="I15" s="59">
        <v>5</v>
      </c>
      <c r="J15" s="59">
        <v>5</v>
      </c>
      <c r="K15" s="59">
        <v>6</v>
      </c>
      <c r="L15" s="59">
        <v>5.5</v>
      </c>
      <c r="M15" s="56"/>
      <c r="N15" s="57">
        <f t="shared" si="0"/>
        <v>16</v>
      </c>
      <c r="O15" s="57">
        <f>IF(N15="","",N15+O14)</f>
        <v>40.700000000000003</v>
      </c>
      <c r="R15" s="53">
        <f>O57+0.000014</f>
        <v>85.750013999999993</v>
      </c>
      <c r="S15" s="53" t="str">
        <f>B54</f>
        <v>Sara Hitchen</v>
      </c>
      <c r="T15" s="53" t="str">
        <f>C54</f>
        <v>HCP</v>
      </c>
    </row>
    <row r="16" spans="1:20" x14ac:dyDescent="0.25">
      <c r="A16" s="100"/>
      <c r="B16" s="101"/>
      <c r="C16" s="102"/>
      <c r="D16" s="55">
        <v>3</v>
      </c>
      <c r="E16" s="61" t="s">
        <v>120</v>
      </c>
      <c r="F16" s="57" t="str">
        <f>IF($E16="","",IF(ISNA(VLOOKUP($E16,DD!$A$2:$C$150,2,0)),"NO SUCH DIVE",VLOOKUP($E16,DD!$A$2:$C$150,2,0)))</f>
        <v>Back dive ½ twist layout</v>
      </c>
      <c r="G16" s="55">
        <f>IF($E16="","",IF(ISNA(VLOOKUP($E16,DD!$A$2:$C$150,3,0)),"",VLOOKUP($E16,DD!$A$2:$C$150,3,0)))</f>
        <v>1.4</v>
      </c>
      <c r="H16" s="59">
        <v>4.5</v>
      </c>
      <c r="I16" s="59">
        <v>4</v>
      </c>
      <c r="J16" s="59">
        <v>5</v>
      </c>
      <c r="K16" s="59">
        <v>4.5</v>
      </c>
      <c r="L16" s="59">
        <v>5</v>
      </c>
      <c r="M16" s="56"/>
      <c r="N16" s="57">
        <f t="shared" si="0"/>
        <v>19.599999999999998</v>
      </c>
      <c r="O16" s="57">
        <f>IF(N16="","",N16+O15)</f>
        <v>60.3</v>
      </c>
      <c r="R16" s="53">
        <f>O61+0.000015</f>
        <v>1.5E-5</v>
      </c>
      <c r="S16" s="53">
        <f>B58</f>
        <v>0</v>
      </c>
      <c r="T16" s="53">
        <f>C58</f>
        <v>0</v>
      </c>
    </row>
    <row r="17" spans="1:20" x14ac:dyDescent="0.25">
      <c r="A17" s="100"/>
      <c r="B17" s="101"/>
      <c r="C17" s="102"/>
      <c r="D17" s="55">
        <v>4</v>
      </c>
      <c r="E17" s="61" t="s">
        <v>133</v>
      </c>
      <c r="F17" s="57" t="str">
        <f>IF($E17="","",IF(ISNA(VLOOKUP($E17,DD!$A$2:$C$150,2,0)),"NO SUCH DIVE",VLOOKUP($E17,DD!$A$2:$C$150,2,0)))</f>
        <v>Front somersault tuck</v>
      </c>
      <c r="G17" s="55">
        <f>IF($E17="","",IF(ISNA(VLOOKUP($E17,DD!$A$2:$C$150,3,0)),"",VLOOKUP($E17,DD!$A$2:$C$150,3,0)))</f>
        <v>1.4</v>
      </c>
      <c r="H17" s="59">
        <v>5.5</v>
      </c>
      <c r="I17" s="59">
        <v>6</v>
      </c>
      <c r="J17" s="59">
        <v>6</v>
      </c>
      <c r="K17" s="59">
        <v>5.5</v>
      </c>
      <c r="L17" s="59">
        <v>5.5</v>
      </c>
      <c r="M17" s="56"/>
      <c r="N17" s="57">
        <f t="shared" si="0"/>
        <v>23.799999999999997</v>
      </c>
      <c r="O17" s="60">
        <f>IF(N17="",0,N17+O16)</f>
        <v>84.1</v>
      </c>
      <c r="R17" s="53">
        <f>O65+0.000016</f>
        <v>1.5999999999999999E-5</v>
      </c>
      <c r="S17" s="53">
        <f>B62</f>
        <v>0</v>
      </c>
      <c r="T17" s="53">
        <f>C62</f>
        <v>0</v>
      </c>
    </row>
    <row r="18" spans="1:20" ht="15" customHeight="1" x14ac:dyDescent="0.25">
      <c r="A18" s="97">
        <v>5</v>
      </c>
      <c r="B18" s="107" t="s">
        <v>152</v>
      </c>
      <c r="C18" s="106" t="s">
        <v>49</v>
      </c>
      <c r="D18" s="46">
        <v>1</v>
      </c>
      <c r="E18" s="50" t="s">
        <v>118</v>
      </c>
      <c r="F18" s="45" t="str">
        <f>IF($E18="","",IF(ISNA(VLOOKUP($E18,DD!$A$2:$C$150,2,0)),"NO SUCH DIVE",VLOOKUP($E18,DD!$A$2:$C$150,2,0)))</f>
        <v>Front dive tuck</v>
      </c>
      <c r="G18" s="51">
        <f>IF($E18="","",IF(ISNA(VLOOKUP($E18,DD!$A$2:$C$150,3,0)),"",VLOOKUP($E18,DD!$A$2:$C$150,3,0)))</f>
        <v>1.3</v>
      </c>
      <c r="H18" s="52">
        <v>6.5</v>
      </c>
      <c r="I18" s="52">
        <v>5.5</v>
      </c>
      <c r="J18" s="52">
        <v>6.5</v>
      </c>
      <c r="K18" s="52">
        <v>7.5</v>
      </c>
      <c r="L18" s="52">
        <v>6.5</v>
      </c>
      <c r="M18" s="50"/>
      <c r="N18" s="45">
        <f t="shared" si="0"/>
        <v>25.35</v>
      </c>
      <c r="O18" s="45">
        <f>IF(N18="","",N18)</f>
        <v>25.35</v>
      </c>
      <c r="R18" s="53">
        <f>O69+0.000017</f>
        <v>1.7E-5</v>
      </c>
      <c r="S18" s="53">
        <f>B66</f>
        <v>0</v>
      </c>
      <c r="T18" s="53">
        <f>C66</f>
        <v>0</v>
      </c>
    </row>
    <row r="19" spans="1:20" x14ac:dyDescent="0.25">
      <c r="A19" s="97"/>
      <c r="B19" s="107"/>
      <c r="C19" s="106"/>
      <c r="D19" s="46">
        <v>2</v>
      </c>
      <c r="E19" s="50" t="s">
        <v>115</v>
      </c>
      <c r="F19" s="45" t="str">
        <f>IF($E19="","",IF(ISNA(VLOOKUP($E19,DD!$A$2:$C$150,2,0)),"NO SUCH DIVE",VLOOKUP($E19,DD!$A$2:$C$150,2,0)))</f>
        <v>Back dive layout</v>
      </c>
      <c r="G19" s="51">
        <f>IF($E19="","",IF(ISNA(VLOOKUP($E19,DD!$A$2:$C$150,3,0)),"",VLOOKUP($E19,DD!$A$2:$C$150,3,0)))</f>
        <v>1.4</v>
      </c>
      <c r="H19" s="52">
        <v>6</v>
      </c>
      <c r="I19" s="52">
        <v>6.5</v>
      </c>
      <c r="J19" s="52">
        <v>5.5</v>
      </c>
      <c r="K19" s="52">
        <v>5.5</v>
      </c>
      <c r="L19" s="52">
        <v>6</v>
      </c>
      <c r="M19" s="50"/>
      <c r="N19" s="45">
        <f t="shared" si="0"/>
        <v>24.5</v>
      </c>
      <c r="O19" s="45">
        <f>IF(N19="","",N19+O18)</f>
        <v>49.85</v>
      </c>
      <c r="R19" s="53">
        <f>O73+0.000018</f>
        <v>1.8E-5</v>
      </c>
      <c r="S19" s="53">
        <f>B70</f>
        <v>0</v>
      </c>
      <c r="T19" s="53">
        <f>C70</f>
        <v>0</v>
      </c>
    </row>
    <row r="20" spans="1:20" x14ac:dyDescent="0.25">
      <c r="A20" s="97"/>
      <c r="B20" s="107"/>
      <c r="C20" s="106"/>
      <c r="D20" s="46">
        <v>3</v>
      </c>
      <c r="E20" s="50" t="s">
        <v>133</v>
      </c>
      <c r="F20" s="45" t="str">
        <f>IF($E20="","",IF(ISNA(VLOOKUP($E20,DD!$A$2:$C$150,2,0)),"NO SUCH DIVE",VLOOKUP($E20,DD!$A$2:$C$150,2,0)))</f>
        <v>Front somersault tuck</v>
      </c>
      <c r="G20" s="46">
        <f>IF($E20="","",IF(ISNA(VLOOKUP($E20,DD!$A$2:$C$150,3,0)),"",VLOOKUP($E20,DD!$A$2:$C$150,3,0)))</f>
        <v>1.4</v>
      </c>
      <c r="H20" s="52">
        <v>5</v>
      </c>
      <c r="I20" s="52">
        <v>5.5</v>
      </c>
      <c r="J20" s="52">
        <v>6</v>
      </c>
      <c r="K20" s="52">
        <v>5</v>
      </c>
      <c r="L20" s="52">
        <v>5.5</v>
      </c>
      <c r="M20" s="50"/>
      <c r="N20" s="45">
        <f t="shared" si="0"/>
        <v>22.4</v>
      </c>
      <c r="O20" s="45">
        <f>IF(N20="","",N20+O19)</f>
        <v>72.25</v>
      </c>
      <c r="R20" s="53">
        <f>O77+0.000019</f>
        <v>1.9000000000000001E-5</v>
      </c>
      <c r="S20" s="53">
        <f>B74</f>
        <v>0</v>
      </c>
      <c r="T20" s="53">
        <f>C74</f>
        <v>0</v>
      </c>
    </row>
    <row r="21" spans="1:20" x14ac:dyDescent="0.25">
      <c r="A21" s="97"/>
      <c r="B21" s="107"/>
      <c r="C21" s="106"/>
      <c r="D21" s="46">
        <v>4</v>
      </c>
      <c r="E21" s="50" t="s">
        <v>123</v>
      </c>
      <c r="F21" s="45" t="str">
        <f>IF($E21="","",IF(ISNA(VLOOKUP($E21,DD!$A$2:$C$150,2,0)),"NO SUCH DIVE",VLOOKUP($E21,DD!$A$2:$C$150,2,0)))</f>
        <v>Inward dive tuck</v>
      </c>
      <c r="G21" s="46">
        <f>IF($E21="","",IF(ISNA(VLOOKUP($E21,DD!$A$2:$C$150,3,0)),"",VLOOKUP($E21,DD!$A$2:$C$150,3,0)))</f>
        <v>1.5</v>
      </c>
      <c r="H21" s="52">
        <v>5</v>
      </c>
      <c r="I21" s="52">
        <v>5</v>
      </c>
      <c r="J21" s="52">
        <v>5.5</v>
      </c>
      <c r="K21" s="52">
        <v>5</v>
      </c>
      <c r="L21" s="52">
        <v>5</v>
      </c>
      <c r="M21" s="50"/>
      <c r="N21" s="45">
        <f t="shared" si="0"/>
        <v>22.5</v>
      </c>
      <c r="O21" s="54">
        <f>IF(N21="",0,N21+O20)</f>
        <v>94.75</v>
      </c>
      <c r="R21" s="53">
        <f>O81+0.00002</f>
        <v>2.0000000000000002E-5</v>
      </c>
      <c r="S21" s="53">
        <f>B78</f>
        <v>0</v>
      </c>
      <c r="T21" s="53">
        <f>C78</f>
        <v>0</v>
      </c>
    </row>
    <row r="22" spans="1:20" x14ac:dyDescent="0.25">
      <c r="A22" s="100">
        <v>6</v>
      </c>
      <c r="B22" s="101"/>
      <c r="C22" s="102"/>
      <c r="D22" s="55">
        <v>1</v>
      </c>
      <c r="E22" s="56"/>
      <c r="F22" s="57" t="str">
        <f>IF($E22="","",IF(ISNA(VLOOKUP($E22,DD!$A$2:$C$150,2,0)),"NO SUCH DIVE",VLOOKUP($E22,DD!$A$2:$C$150,2,0)))</f>
        <v/>
      </c>
      <c r="G22" s="58" t="str">
        <f>IF($E22="","",IF(ISNA(VLOOKUP($E22,DD!$A$2:$C$150,3,0)),"",VLOOKUP($E22,DD!$A$2:$C$150,3,0)))</f>
        <v/>
      </c>
      <c r="H22" s="59"/>
      <c r="I22" s="59"/>
      <c r="J22" s="59"/>
      <c r="K22" s="59"/>
      <c r="L22" s="59"/>
      <c r="M22" s="56"/>
      <c r="N22" s="57" t="str">
        <f t="shared" si="0"/>
        <v/>
      </c>
      <c r="O22" s="57" t="str">
        <f>IF(N22="","",N22)</f>
        <v/>
      </c>
      <c r="R22" s="53">
        <f>O85+0.000021</f>
        <v>2.0999999999999999E-5</v>
      </c>
      <c r="S22" s="53">
        <f>B82</f>
        <v>0</v>
      </c>
      <c r="T22" s="53">
        <f>C82</f>
        <v>0</v>
      </c>
    </row>
    <row r="23" spans="1:20" x14ac:dyDescent="0.25">
      <c r="A23" s="100"/>
      <c r="B23" s="101"/>
      <c r="C23" s="102"/>
      <c r="D23" s="55">
        <v>2</v>
      </c>
      <c r="E23" s="56"/>
      <c r="F23" s="57" t="str">
        <f>IF($E23="","",IF(ISNA(VLOOKUP($E23,DD!$A$2:$C$150,2,0)),"NO SUCH DIVE",VLOOKUP($E23,DD!$A$2:$C$150,2,0)))</f>
        <v/>
      </c>
      <c r="G23" s="58" t="str">
        <f>IF($E23="","",IF(ISNA(VLOOKUP($E23,DD!$A$2:$C$150,3,0)),"",VLOOKUP($E23,DD!$A$2:$C$150,3,0)))</f>
        <v/>
      </c>
      <c r="H23" s="59"/>
      <c r="I23" s="59"/>
      <c r="J23" s="59"/>
      <c r="K23" s="59"/>
      <c r="L23" s="59"/>
      <c r="M23" s="56"/>
      <c r="N23" s="57" t="str">
        <f t="shared" si="0"/>
        <v/>
      </c>
      <c r="O23" s="57" t="str">
        <f>IF(N23="","",N23+O22)</f>
        <v/>
      </c>
      <c r="R23" s="53">
        <f>O89+0.000022</f>
        <v>2.1999999999999999E-5</v>
      </c>
      <c r="S23" s="53">
        <f>B86</f>
        <v>0</v>
      </c>
      <c r="T23" s="53">
        <f>C86</f>
        <v>0</v>
      </c>
    </row>
    <row r="24" spans="1:20" x14ac:dyDescent="0.25">
      <c r="A24" s="100"/>
      <c r="B24" s="101"/>
      <c r="C24" s="102"/>
      <c r="D24" s="55">
        <v>3</v>
      </c>
      <c r="E24" s="56"/>
      <c r="F24" s="57" t="str">
        <f>IF($E24="","",IF(ISNA(VLOOKUP($E24,DD!$A$2:$C$150,2,0)),"NO SUCH DIVE",VLOOKUP($E24,DD!$A$2:$C$150,2,0)))</f>
        <v/>
      </c>
      <c r="G24" s="55" t="str">
        <f>IF($E24="","",IF(ISNA(VLOOKUP($E24,DD!$A$2:$C$150,3,0)),"",VLOOKUP($E24,DD!$A$2:$C$150,3,0)))</f>
        <v/>
      </c>
      <c r="H24" s="59"/>
      <c r="I24" s="59"/>
      <c r="J24" s="59"/>
      <c r="K24" s="59"/>
      <c r="L24" s="59"/>
      <c r="M24" s="56"/>
      <c r="N24" s="57" t="str">
        <f t="shared" si="0"/>
        <v/>
      </c>
      <c r="O24" s="57" t="str">
        <f>IF(N24="","",N24+O23)</f>
        <v/>
      </c>
      <c r="R24" s="53">
        <f>O93+0.000023</f>
        <v>2.3E-5</v>
      </c>
      <c r="S24" s="53">
        <f>B90</f>
        <v>0</v>
      </c>
      <c r="T24" s="53">
        <f>C90</f>
        <v>0</v>
      </c>
    </row>
    <row r="25" spans="1:20" x14ac:dyDescent="0.25">
      <c r="A25" s="100"/>
      <c r="B25" s="101"/>
      <c r="C25" s="102"/>
      <c r="D25" s="55">
        <v>4</v>
      </c>
      <c r="E25" s="56"/>
      <c r="F25" s="57" t="str">
        <f>IF($E25="","",IF(ISNA(VLOOKUP($E25,DD!$A$2:$C$150,2,0)),"NO SUCH DIVE",VLOOKUP($E25,DD!$A$2:$C$150,2,0)))</f>
        <v/>
      </c>
      <c r="G25" s="55" t="str">
        <f>IF($E25="","",IF(ISNA(VLOOKUP($E25,DD!$A$2:$C$150,3,0)),"",VLOOKUP($E25,DD!$A$2:$C$150,3,0)))</f>
        <v/>
      </c>
      <c r="H25" s="59"/>
      <c r="I25" s="59"/>
      <c r="J25" s="59"/>
      <c r="K25" s="59"/>
      <c r="L25" s="59"/>
      <c r="M25" s="56"/>
      <c r="N25" s="57" t="str">
        <f t="shared" si="0"/>
        <v/>
      </c>
      <c r="O25" s="60">
        <f>IF(N25="",0,N25+O24)</f>
        <v>0</v>
      </c>
      <c r="R25" s="53">
        <f>O97+0.000024</f>
        <v>2.4000000000000001E-5</v>
      </c>
      <c r="S25" s="53">
        <f>B94</f>
        <v>0</v>
      </c>
      <c r="T25" s="53">
        <f>C94</f>
        <v>0</v>
      </c>
    </row>
    <row r="26" spans="1:20" ht="15" customHeight="1" x14ac:dyDescent="0.25">
      <c r="A26" s="97">
        <v>7</v>
      </c>
      <c r="B26" s="107" t="s">
        <v>153</v>
      </c>
      <c r="C26" s="106" t="s">
        <v>76</v>
      </c>
      <c r="D26" s="46">
        <v>1</v>
      </c>
      <c r="E26" s="50" t="s">
        <v>116</v>
      </c>
      <c r="F26" s="45" t="str">
        <f>IF($E26="","",IF(ISNA(VLOOKUP($E26,DD!$A$2:$C$150,2,0)),"NO SUCH DIVE",VLOOKUP($E26,DD!$A$2:$C$150,2,0)))</f>
        <v>Front dive layout</v>
      </c>
      <c r="G26" s="51">
        <f>IF($E26="","",IF(ISNA(VLOOKUP($E26,DD!$A$2:$C$150,3,0)),"",VLOOKUP($E26,DD!$A$2:$C$150,3,0)))</f>
        <v>1.3</v>
      </c>
      <c r="H26" s="52">
        <v>5.5</v>
      </c>
      <c r="I26" s="52">
        <v>5.5</v>
      </c>
      <c r="J26" s="52">
        <v>6</v>
      </c>
      <c r="K26" s="52">
        <v>6</v>
      </c>
      <c r="L26" s="52">
        <v>6</v>
      </c>
      <c r="M26" s="50"/>
      <c r="N26" s="45">
        <f t="shared" si="0"/>
        <v>22.75</v>
      </c>
      <c r="O26" s="45">
        <f>IF(N26="","",N26)</f>
        <v>22.75</v>
      </c>
      <c r="R26" s="53">
        <v>0</v>
      </c>
    </row>
    <row r="27" spans="1:20" x14ac:dyDescent="0.25">
      <c r="A27" s="97"/>
      <c r="B27" s="107"/>
      <c r="C27" s="106"/>
      <c r="D27" s="46">
        <v>2</v>
      </c>
      <c r="E27" s="50" t="s">
        <v>115</v>
      </c>
      <c r="F27" s="45" t="str">
        <f>IF($E27="","",IF(ISNA(VLOOKUP($E27,DD!$A$2:$C$150,2,0)),"NO SUCH DIVE",VLOOKUP($E27,DD!$A$2:$C$150,2,0)))</f>
        <v>Back dive layout</v>
      </c>
      <c r="G27" s="51">
        <f>IF($E27="","",IF(ISNA(VLOOKUP($E27,DD!$A$2:$C$150,3,0)),"",VLOOKUP($E27,DD!$A$2:$C$150,3,0)))</f>
        <v>1.4</v>
      </c>
      <c r="H27" s="52">
        <v>6.5</v>
      </c>
      <c r="I27" s="52">
        <v>5</v>
      </c>
      <c r="J27" s="52">
        <v>5</v>
      </c>
      <c r="K27" s="52">
        <v>5.5</v>
      </c>
      <c r="L27" s="52">
        <v>5.5</v>
      </c>
      <c r="M27" s="50"/>
      <c r="N27" s="45">
        <f t="shared" si="0"/>
        <v>22.4</v>
      </c>
      <c r="O27" s="45">
        <f>IF(N27="","",N27+O26)</f>
        <v>45.15</v>
      </c>
    </row>
    <row r="28" spans="1:20" x14ac:dyDescent="0.25">
      <c r="A28" s="97"/>
      <c r="B28" s="107"/>
      <c r="C28" s="106"/>
      <c r="D28" s="46">
        <v>3</v>
      </c>
      <c r="E28" s="50" t="s">
        <v>123</v>
      </c>
      <c r="F28" s="45" t="str">
        <f>IF($E28="","",IF(ISNA(VLOOKUP($E28,DD!$A$2:$C$150,2,0)),"NO SUCH DIVE",VLOOKUP($E28,DD!$A$2:$C$150,2,0)))</f>
        <v>Inward dive tuck</v>
      </c>
      <c r="G28" s="46">
        <f>IF($E28="","",IF(ISNA(VLOOKUP($E28,DD!$A$2:$C$150,3,0)),"",VLOOKUP($E28,DD!$A$2:$C$150,3,0)))</f>
        <v>1.5</v>
      </c>
      <c r="H28" s="52">
        <v>6</v>
      </c>
      <c r="I28" s="52">
        <v>4.5</v>
      </c>
      <c r="J28" s="52">
        <v>6</v>
      </c>
      <c r="K28" s="52">
        <v>5</v>
      </c>
      <c r="L28" s="52">
        <v>5.5</v>
      </c>
      <c r="M28" s="50"/>
      <c r="N28" s="45">
        <f t="shared" si="0"/>
        <v>24.75</v>
      </c>
      <c r="O28" s="45">
        <f>IF(N28="","",N28+O27)</f>
        <v>69.900000000000006</v>
      </c>
    </row>
    <row r="29" spans="1:20" x14ac:dyDescent="0.25">
      <c r="A29" s="97"/>
      <c r="B29" s="107"/>
      <c r="C29" s="106"/>
      <c r="D29" s="46">
        <v>4</v>
      </c>
      <c r="E29" s="50" t="s">
        <v>119</v>
      </c>
      <c r="F29" s="45" t="str">
        <f>IF($E29="","",IF(ISNA(VLOOKUP($E29,DD!$A$2:$C$150,2,0)),"NO SUCH DIVE",VLOOKUP($E29,DD!$A$2:$C$150,2,0)))</f>
        <v>Back somersault tuck</v>
      </c>
      <c r="G29" s="46">
        <f>IF($E29="","",IF(ISNA(VLOOKUP($E29,DD!$A$2:$C$150,3,0)),"",VLOOKUP($E29,DD!$A$2:$C$150,3,0)))</f>
        <v>1.5</v>
      </c>
      <c r="H29" s="52">
        <v>2</v>
      </c>
      <c r="I29" s="52">
        <v>2.5</v>
      </c>
      <c r="J29" s="52">
        <v>3</v>
      </c>
      <c r="K29" s="52">
        <v>2.5</v>
      </c>
      <c r="L29" s="52">
        <v>2.5</v>
      </c>
      <c r="M29" s="50"/>
      <c r="N29" s="45">
        <f t="shared" si="0"/>
        <v>11.25</v>
      </c>
      <c r="O29" s="54">
        <f>IF(N29="",0,N29+O28)</f>
        <v>81.150000000000006</v>
      </c>
    </row>
    <row r="30" spans="1:20" x14ac:dyDescent="0.25">
      <c r="A30" s="100">
        <v>8</v>
      </c>
      <c r="B30" s="101"/>
      <c r="C30" s="102"/>
      <c r="D30" s="55">
        <v>1</v>
      </c>
      <c r="E30" s="56"/>
      <c r="F30" s="57" t="str">
        <f>IF($E30="","",IF(ISNA(VLOOKUP($E30,DD!$A$2:$C$150,2,0)),"NO SUCH DIVE",VLOOKUP($E30,DD!$A$2:$C$150,2,0)))</f>
        <v/>
      </c>
      <c r="G30" s="58" t="str">
        <f>IF($E30="","",IF(ISNA(VLOOKUP($E30,DD!$A$2:$C$150,3,0)),"",VLOOKUP($E30,DD!$A$2:$C$150,3,0)))</f>
        <v/>
      </c>
      <c r="H30" s="59"/>
      <c r="I30" s="59"/>
      <c r="J30" s="59"/>
      <c r="K30" s="59"/>
      <c r="L30" s="59"/>
      <c r="M30" s="56"/>
      <c r="N30" s="57" t="str">
        <f t="shared" si="0"/>
        <v/>
      </c>
      <c r="O30" s="57" t="str">
        <f>IF(N30="","",N30)</f>
        <v/>
      </c>
    </row>
    <row r="31" spans="1:20" x14ac:dyDescent="0.25">
      <c r="A31" s="100"/>
      <c r="B31" s="101"/>
      <c r="C31" s="102"/>
      <c r="D31" s="55">
        <v>2</v>
      </c>
      <c r="E31" s="61"/>
      <c r="F31" s="57" t="str">
        <f>IF($E31="","",IF(ISNA(VLOOKUP($E31,DD!$A$2:$C$150,2,0)),"NO SUCH DIVE",VLOOKUP($E31,DD!$A$2:$C$150,2,0)))</f>
        <v/>
      </c>
      <c r="G31" s="58" t="str">
        <f>IF($E31="","",IF(ISNA(VLOOKUP($E31,DD!$A$2:$C$150,3,0)),"",VLOOKUP($E31,DD!$A$2:$C$150,3,0)))</f>
        <v/>
      </c>
      <c r="H31" s="59"/>
      <c r="I31" s="59"/>
      <c r="J31" s="59"/>
      <c r="K31" s="59"/>
      <c r="L31" s="59"/>
      <c r="M31" s="56"/>
      <c r="N31" s="57" t="str">
        <f t="shared" si="0"/>
        <v/>
      </c>
      <c r="O31" s="57" t="str">
        <f>IF(N31="","",N31+O30)</f>
        <v/>
      </c>
    </row>
    <row r="32" spans="1:20" x14ac:dyDescent="0.25">
      <c r="A32" s="100"/>
      <c r="B32" s="101"/>
      <c r="C32" s="102"/>
      <c r="D32" s="55">
        <v>3</v>
      </c>
      <c r="E32" s="56"/>
      <c r="F32" s="57" t="str">
        <f>IF($E32="","",IF(ISNA(VLOOKUP($E32,DD!$A$2:$C$150,2,0)),"NO SUCH DIVE",VLOOKUP($E32,DD!$A$2:$C$150,2,0)))</f>
        <v/>
      </c>
      <c r="G32" s="55" t="str">
        <f>IF($E32="","",IF(ISNA(VLOOKUP($E32,DD!$A$2:$C$150,3,0)),"",VLOOKUP($E32,DD!$A$2:$C$150,3,0)))</f>
        <v/>
      </c>
      <c r="H32" s="59"/>
      <c r="I32" s="59"/>
      <c r="J32" s="59"/>
      <c r="K32" s="59"/>
      <c r="L32" s="59"/>
      <c r="M32" s="56"/>
      <c r="N32" s="57" t="str">
        <f t="shared" si="0"/>
        <v/>
      </c>
      <c r="O32" s="57" t="str">
        <f>IF(N32="","",N32+O31)</f>
        <v/>
      </c>
    </row>
    <row r="33" spans="1:15" x14ac:dyDescent="0.25">
      <c r="A33" s="100"/>
      <c r="B33" s="101"/>
      <c r="C33" s="102"/>
      <c r="D33" s="55">
        <v>4</v>
      </c>
      <c r="E33" s="56"/>
      <c r="F33" s="57" t="str">
        <f>IF($E33="","",IF(ISNA(VLOOKUP($E33,DD!$A$2:$C$150,2,0)),"NO SUCH DIVE",VLOOKUP($E33,DD!$A$2:$C$150,2,0)))</f>
        <v/>
      </c>
      <c r="G33" s="55" t="str">
        <f>IF($E33="","",IF(ISNA(VLOOKUP($E33,DD!$A$2:$C$150,3,0)),"",VLOOKUP($E33,DD!$A$2:$C$150,3,0)))</f>
        <v/>
      </c>
      <c r="H33" s="59"/>
      <c r="I33" s="59"/>
      <c r="J33" s="59"/>
      <c r="K33" s="59"/>
      <c r="L33" s="59"/>
      <c r="M33" s="56"/>
      <c r="N33" s="57" t="str">
        <f t="shared" si="0"/>
        <v/>
      </c>
      <c r="O33" s="60">
        <f>IF(N33="",0,N33+O32)</f>
        <v>0</v>
      </c>
    </row>
    <row r="34" spans="1:15" ht="15" customHeight="1" x14ac:dyDescent="0.25">
      <c r="A34" s="97">
        <v>9</v>
      </c>
      <c r="B34" s="107" t="s">
        <v>154</v>
      </c>
      <c r="C34" s="106" t="s">
        <v>57</v>
      </c>
      <c r="D34" s="46">
        <v>1</v>
      </c>
      <c r="E34" s="50" t="s">
        <v>54</v>
      </c>
      <c r="F34" s="45" t="str">
        <f>IF($E34="","",IF(ISNA(VLOOKUP($E34,DD!$A$2:$C$150,2,0)),"NO SUCH DIVE",VLOOKUP($E34,DD!$A$2:$C$150,2,0)))</f>
        <v>Front dive layout</v>
      </c>
      <c r="G34" s="51">
        <f>IF($E34="","",IF(ISNA(VLOOKUP($E34,DD!$A$2:$C$150,3,0)),"",VLOOKUP($E34,DD!$A$2:$C$150,3,0)))</f>
        <v>1.3</v>
      </c>
      <c r="H34" s="52">
        <v>7</v>
      </c>
      <c r="I34" s="52">
        <v>6</v>
      </c>
      <c r="J34" s="52">
        <v>7</v>
      </c>
      <c r="K34" s="52">
        <v>6.5</v>
      </c>
      <c r="L34" s="52">
        <v>6.5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26</v>
      </c>
      <c r="O34" s="45">
        <f>IF(N34="","",N34)</f>
        <v>26</v>
      </c>
    </row>
    <row r="35" spans="1:15" x14ac:dyDescent="0.25">
      <c r="A35" s="97"/>
      <c r="B35" s="107"/>
      <c r="C35" s="106"/>
      <c r="D35" s="46">
        <v>2</v>
      </c>
      <c r="E35" s="50" t="s">
        <v>96</v>
      </c>
      <c r="F35" s="45" t="str">
        <f>IF($E35="","",IF(ISNA(VLOOKUP($E35,DD!$A$2:$C$150,2,0)),"NO SUCH DIVE",VLOOKUP($E35,DD!$A$2:$C$150,2,0)))</f>
        <v>Inward dive tuck</v>
      </c>
      <c r="G35" s="51">
        <f>IF($E35="","",IF(ISNA(VLOOKUP($E35,DD!$A$2:$C$150,3,0)),"",VLOOKUP($E35,DD!$A$2:$C$150,3,0)))</f>
        <v>1.5</v>
      </c>
      <c r="H35" s="52">
        <v>7</v>
      </c>
      <c r="I35" s="52">
        <v>6</v>
      </c>
      <c r="J35" s="52">
        <v>7</v>
      </c>
      <c r="K35" s="52">
        <v>6</v>
      </c>
      <c r="L35" s="52">
        <v>6</v>
      </c>
      <c r="M35" s="50"/>
      <c r="N35" s="45">
        <f t="shared" si="1"/>
        <v>28.5</v>
      </c>
      <c r="O35" s="45">
        <f>IF(N35="","",N35+O34)</f>
        <v>54.5</v>
      </c>
    </row>
    <row r="36" spans="1:15" x14ac:dyDescent="0.25">
      <c r="A36" s="97"/>
      <c r="B36" s="107"/>
      <c r="C36" s="106"/>
      <c r="D36" s="46">
        <v>3</v>
      </c>
      <c r="E36" s="62" t="s">
        <v>155</v>
      </c>
      <c r="F36" s="45" t="str">
        <f>IF($E36="","",IF(ISNA(VLOOKUP($E36,DD!$A$2:$C$150,2,0)),"NO SUCH DIVE",VLOOKUP($E36,DD!$A$2:$C$150,2,0)))</f>
        <v>Front  1 ½ somersault tuck</v>
      </c>
      <c r="G36" s="46">
        <f>IF($E36="","",IF(ISNA(VLOOKUP($E36,DD!$A$2:$C$150,3,0)),"",VLOOKUP($E36,DD!$A$2:$C$150,3,0)))</f>
        <v>1.6</v>
      </c>
      <c r="H36" s="52">
        <v>6.5</v>
      </c>
      <c r="I36" s="52">
        <v>6</v>
      </c>
      <c r="J36" s="52">
        <v>5.5</v>
      </c>
      <c r="K36" s="52">
        <v>5.5</v>
      </c>
      <c r="L36" s="52">
        <v>5.5</v>
      </c>
      <c r="M36" s="50"/>
      <c r="N36" s="45">
        <f t="shared" si="1"/>
        <v>27.200000000000003</v>
      </c>
      <c r="O36" s="45">
        <f>IF(N36="","",N36+O35)</f>
        <v>81.7</v>
      </c>
    </row>
    <row r="37" spans="1:15" x14ac:dyDescent="0.25">
      <c r="A37" s="97"/>
      <c r="B37" s="107"/>
      <c r="C37" s="106"/>
      <c r="D37" s="46">
        <v>4</v>
      </c>
      <c r="E37" s="50" t="s">
        <v>146</v>
      </c>
      <c r="F37" s="45" t="str">
        <f>IF($E37="","",IF(ISNA(VLOOKUP($E37,DD!$A$2:$C$150,2,0)),"NO SUCH DIVE",VLOOKUP($E37,DD!$A$2:$C$150,2,0)))</f>
        <v>Back somersault layout</v>
      </c>
      <c r="G37" s="46">
        <f>IF($E37="","",IF(ISNA(VLOOKUP($E37,DD!$A$2:$C$150,3,0)),"",VLOOKUP($E37,DD!$A$2:$C$150,3,0)))</f>
        <v>1.7</v>
      </c>
      <c r="H37" s="52">
        <v>6</v>
      </c>
      <c r="I37" s="52">
        <v>6.5</v>
      </c>
      <c r="J37" s="52">
        <v>6.5</v>
      </c>
      <c r="K37" s="52">
        <v>6.5</v>
      </c>
      <c r="L37" s="52">
        <v>6.5</v>
      </c>
      <c r="M37" s="50"/>
      <c r="N37" s="45">
        <f t="shared" si="1"/>
        <v>33.15</v>
      </c>
      <c r="O37" s="54">
        <f>IF(N37="",0,N37+O36)</f>
        <v>114.85</v>
      </c>
    </row>
    <row r="38" spans="1:15" x14ac:dyDescent="0.25">
      <c r="A38" s="100">
        <v>10</v>
      </c>
      <c r="B38" s="101"/>
      <c r="C38" s="102"/>
      <c r="D38" s="55">
        <v>1</v>
      </c>
      <c r="E38" s="56"/>
      <c r="F38" s="57" t="str">
        <f>IF($E38="","",IF(ISNA(VLOOKUP($E38,DD!$A$2:$C$150,2,0)),"NO SUCH DIVE",VLOOKUP($E38,DD!$A$2:$C$150,2,0)))</f>
        <v/>
      </c>
      <c r="G38" s="58" t="str">
        <f>IF($E38="","",IF(ISNA(VLOOKUP($E38,DD!$A$2:$C$150,3,0)),"",VLOOKUP($E38,DD!$A$2:$C$150,3,0)))</f>
        <v/>
      </c>
      <c r="H38" s="59"/>
      <c r="I38" s="59"/>
      <c r="J38" s="59"/>
      <c r="K38" s="59"/>
      <c r="L38" s="59"/>
      <c r="M38" s="56"/>
      <c r="N38" s="57" t="str">
        <f t="shared" si="1"/>
        <v/>
      </c>
      <c r="O38" s="57" t="str">
        <f>IF(N38="","",N38)</f>
        <v/>
      </c>
    </row>
    <row r="39" spans="1:15" x14ac:dyDescent="0.25">
      <c r="A39" s="100"/>
      <c r="B39" s="101"/>
      <c r="C39" s="102"/>
      <c r="D39" s="55">
        <v>2</v>
      </c>
      <c r="E39" s="61"/>
      <c r="F39" s="57" t="str">
        <f>IF($E39="","",IF(ISNA(VLOOKUP($E39,DD!$A$2:$C$150,2,0)),"NO SUCH DIVE",VLOOKUP($E39,DD!$A$2:$C$150,2,0)))</f>
        <v/>
      </c>
      <c r="G39" s="58" t="str">
        <f>IF($E39="","",IF(ISNA(VLOOKUP($E39,DD!$A$2:$C$150,3,0)),"",VLOOKUP($E39,DD!$A$2:$C$150,3,0)))</f>
        <v/>
      </c>
      <c r="H39" s="59"/>
      <c r="I39" s="59"/>
      <c r="J39" s="59"/>
      <c r="K39" s="59"/>
      <c r="L39" s="59"/>
      <c r="M39" s="56"/>
      <c r="N39" s="57" t="str">
        <f t="shared" si="1"/>
        <v/>
      </c>
      <c r="O39" s="57" t="str">
        <f>IF(N39="","",N39+O38)</f>
        <v/>
      </c>
    </row>
    <row r="40" spans="1:15" x14ac:dyDescent="0.25">
      <c r="A40" s="100"/>
      <c r="B40" s="101"/>
      <c r="C40" s="102"/>
      <c r="D40" s="55">
        <v>3</v>
      </c>
      <c r="E40" s="56"/>
      <c r="F40" s="57" t="str">
        <f>IF($E40="","",IF(ISNA(VLOOKUP($E40,DD!$A$2:$C$150,2,0)),"NO SUCH DIVE",VLOOKUP($E40,DD!$A$2:$C$150,2,0)))</f>
        <v/>
      </c>
      <c r="G40" s="55" t="str">
        <f>IF($E40="","",IF(ISNA(VLOOKUP($E40,DD!$A$2:$C$150,3,0)),"",VLOOKUP($E40,DD!$A$2:$C$150,3,0)))</f>
        <v/>
      </c>
      <c r="H40" s="59"/>
      <c r="I40" s="59"/>
      <c r="J40" s="59"/>
      <c r="K40" s="59"/>
      <c r="L40" s="59"/>
      <c r="M40" s="56"/>
      <c r="N40" s="57" t="str">
        <f t="shared" si="1"/>
        <v/>
      </c>
      <c r="O40" s="57" t="str">
        <f>IF(N40="","",N40+O39)</f>
        <v/>
      </c>
    </row>
    <row r="41" spans="1:15" x14ac:dyDescent="0.25">
      <c r="A41" s="100"/>
      <c r="B41" s="101"/>
      <c r="C41" s="102"/>
      <c r="D41" s="55">
        <v>4</v>
      </c>
      <c r="E41" s="56"/>
      <c r="F41" s="57" t="str">
        <f>IF($E41="","",IF(ISNA(VLOOKUP($E41,DD!$A$2:$C$150,2,0)),"NO SUCH DIVE",VLOOKUP($E41,DD!$A$2:$C$150,2,0)))</f>
        <v/>
      </c>
      <c r="G41" s="55" t="str">
        <f>IF($E41="","",IF(ISNA(VLOOKUP($E41,DD!$A$2:$C$150,3,0)),"",VLOOKUP($E41,DD!$A$2:$C$150,3,0)))</f>
        <v/>
      </c>
      <c r="H41" s="59"/>
      <c r="I41" s="59"/>
      <c r="J41" s="59"/>
      <c r="K41" s="59"/>
      <c r="L41" s="59"/>
      <c r="M41" s="56"/>
      <c r="N41" s="57" t="str">
        <f t="shared" si="1"/>
        <v/>
      </c>
      <c r="O41" s="60">
        <f>IF(N41="",0,N41+O40)</f>
        <v>0</v>
      </c>
    </row>
    <row r="42" spans="1:15" ht="15" customHeight="1" x14ac:dyDescent="0.25">
      <c r="A42" s="97">
        <v>11</v>
      </c>
      <c r="B42" s="107" t="s">
        <v>156</v>
      </c>
      <c r="C42" s="106" t="s">
        <v>49</v>
      </c>
      <c r="D42" s="46">
        <v>1</v>
      </c>
      <c r="E42" s="50" t="s">
        <v>118</v>
      </c>
      <c r="F42" s="45" t="str">
        <f>IF($E42="","",IF(ISNA(VLOOKUP($E42,DD!$A$2:$C$150,2,0)),"NO SUCH DIVE",VLOOKUP($E42,DD!$A$2:$C$150,2,0)))</f>
        <v>Front dive tuck</v>
      </c>
      <c r="G42" s="51">
        <f>IF($E42="","",IF(ISNA(VLOOKUP($E42,DD!$A$2:$C$150,3,0)),"",VLOOKUP($E42,DD!$A$2:$C$150,3,0)))</f>
        <v>1.3</v>
      </c>
      <c r="H42" s="52">
        <v>5.5</v>
      </c>
      <c r="I42" s="52">
        <v>5.5</v>
      </c>
      <c r="J42" s="52">
        <v>6</v>
      </c>
      <c r="K42" s="52">
        <v>6</v>
      </c>
      <c r="L42" s="52">
        <v>5.5</v>
      </c>
      <c r="M42" s="50"/>
      <c r="N42" s="45">
        <f t="shared" si="1"/>
        <v>22.1</v>
      </c>
      <c r="O42" s="45">
        <f>IF(N42="","",N42)</f>
        <v>22.1</v>
      </c>
    </row>
    <row r="43" spans="1:15" x14ac:dyDescent="0.25">
      <c r="A43" s="97"/>
      <c r="B43" s="107"/>
      <c r="C43" s="106"/>
      <c r="D43" s="46">
        <v>2</v>
      </c>
      <c r="E43" s="50" t="s">
        <v>132</v>
      </c>
      <c r="F43" s="45" t="str">
        <f>IF($E43="","",IF(ISNA(VLOOKUP($E43,DD!$A$2:$C$150,2,0)),"NO SUCH DIVE",VLOOKUP($E43,DD!$A$2:$C$150,2,0)))</f>
        <v>Back somersault layout</v>
      </c>
      <c r="G43" s="51">
        <f>IF($E43="","",IF(ISNA(VLOOKUP($E43,DD!$A$2:$C$150,3,0)),"",VLOOKUP($E43,DD!$A$2:$C$150,3,0)))</f>
        <v>1.7</v>
      </c>
      <c r="H43" s="52">
        <v>5</v>
      </c>
      <c r="I43" s="52">
        <v>6.5</v>
      </c>
      <c r="J43" s="52">
        <v>6</v>
      </c>
      <c r="K43" s="52">
        <v>6</v>
      </c>
      <c r="L43" s="52">
        <v>5.5</v>
      </c>
      <c r="M43" s="50"/>
      <c r="N43" s="45">
        <f t="shared" si="1"/>
        <v>29.75</v>
      </c>
      <c r="O43" s="45">
        <f>IF(N43="","",N43+O42)</f>
        <v>51.85</v>
      </c>
    </row>
    <row r="44" spans="1:15" x14ac:dyDescent="0.25">
      <c r="A44" s="97"/>
      <c r="B44" s="107"/>
      <c r="C44" s="106"/>
      <c r="D44" s="46">
        <v>3</v>
      </c>
      <c r="E44" s="50" t="s">
        <v>123</v>
      </c>
      <c r="F44" s="45" t="str">
        <f>IF($E44="","",IF(ISNA(VLOOKUP($E44,DD!$A$2:$C$150,2,0)),"NO SUCH DIVE",VLOOKUP($E44,DD!$A$2:$C$150,2,0)))</f>
        <v>Inward dive tuck</v>
      </c>
      <c r="G44" s="46">
        <f>IF($E44="","",IF(ISNA(VLOOKUP($E44,DD!$A$2:$C$150,3,0)),"",VLOOKUP($E44,DD!$A$2:$C$150,3,0)))</f>
        <v>1.5</v>
      </c>
      <c r="H44" s="52">
        <v>5.5</v>
      </c>
      <c r="I44" s="52">
        <v>5.5</v>
      </c>
      <c r="J44" s="52">
        <v>6</v>
      </c>
      <c r="K44" s="52">
        <v>5.5</v>
      </c>
      <c r="L44" s="52">
        <v>5.5</v>
      </c>
      <c r="M44" s="50"/>
      <c r="N44" s="45">
        <f t="shared" si="1"/>
        <v>24.75</v>
      </c>
      <c r="O44" s="45">
        <f>IF(N44="","",N44+O43)</f>
        <v>76.599999999999994</v>
      </c>
    </row>
    <row r="45" spans="1:15" x14ac:dyDescent="0.25">
      <c r="A45" s="97"/>
      <c r="B45" s="107"/>
      <c r="C45" s="106"/>
      <c r="D45" s="46">
        <v>4</v>
      </c>
      <c r="E45" s="50" t="s">
        <v>133</v>
      </c>
      <c r="F45" s="45" t="str">
        <f>IF($E45="","",IF(ISNA(VLOOKUP($E45,DD!$A$2:$C$150,2,0)),"NO SUCH DIVE",VLOOKUP($E45,DD!$A$2:$C$150,2,0)))</f>
        <v>Front somersault tuck</v>
      </c>
      <c r="G45" s="46">
        <f>IF($E45="","",IF(ISNA(VLOOKUP($E45,DD!$A$2:$C$150,3,0)),"",VLOOKUP($E45,DD!$A$2:$C$150,3,0)))</f>
        <v>1.4</v>
      </c>
      <c r="H45" s="52">
        <v>4.5</v>
      </c>
      <c r="I45" s="52">
        <v>6</v>
      </c>
      <c r="J45" s="52">
        <v>5.5</v>
      </c>
      <c r="K45" s="52">
        <v>5.5</v>
      </c>
      <c r="L45" s="52">
        <v>5.5</v>
      </c>
      <c r="M45" s="50"/>
      <c r="N45" s="45">
        <f t="shared" si="1"/>
        <v>23.099999999999998</v>
      </c>
      <c r="O45" s="54">
        <f>IF(N45="",0,N45+O44)</f>
        <v>99.699999999999989</v>
      </c>
    </row>
    <row r="46" spans="1:15" ht="15" customHeight="1" x14ac:dyDescent="0.25">
      <c r="A46" s="100">
        <v>12</v>
      </c>
      <c r="B46" s="101" t="s">
        <v>157</v>
      </c>
      <c r="C46" s="102" t="s">
        <v>76</v>
      </c>
      <c r="D46" s="55">
        <v>1</v>
      </c>
      <c r="E46" s="56" t="s">
        <v>72</v>
      </c>
      <c r="F46" s="57" t="str">
        <f>IF($E46="","",IF(ISNA(VLOOKUP($E46,DD!$A$2:$C$150,2,0)),"NO SUCH DIVE",VLOOKUP($E46,DD!$A$2:$C$150,2,0)))</f>
        <v>Front somersault tuck</v>
      </c>
      <c r="G46" s="58">
        <f>IF($E46="","",IF(ISNA(VLOOKUP($E46,DD!$A$2:$C$150,3,0)),"",VLOOKUP($E46,DD!$A$2:$C$150,3,0)))</f>
        <v>1.4</v>
      </c>
      <c r="H46" s="59">
        <v>4.5</v>
      </c>
      <c r="I46" s="59">
        <v>4.5</v>
      </c>
      <c r="J46" s="59">
        <v>5</v>
      </c>
      <c r="K46" s="59">
        <v>5.5</v>
      </c>
      <c r="L46" s="59">
        <v>4.5</v>
      </c>
      <c r="M46" s="56"/>
      <c r="N46" s="57">
        <f t="shared" si="1"/>
        <v>19.599999999999998</v>
      </c>
      <c r="O46" s="57">
        <f>IF(N46="","",N46)</f>
        <v>19.599999999999998</v>
      </c>
    </row>
    <row r="47" spans="1:15" x14ac:dyDescent="0.25">
      <c r="A47" s="100"/>
      <c r="B47" s="101"/>
      <c r="C47" s="102"/>
      <c r="D47" s="55">
        <v>2</v>
      </c>
      <c r="E47" s="61" t="s">
        <v>123</v>
      </c>
      <c r="F47" s="57" t="str">
        <f>IF($E47="","",IF(ISNA(VLOOKUP($E47,DD!$A$2:$C$150,2,0)),"NO SUCH DIVE",VLOOKUP($E47,DD!$A$2:$C$150,2,0)))</f>
        <v>Inward dive tuck</v>
      </c>
      <c r="G47" s="58">
        <f>IF($E47="","",IF(ISNA(VLOOKUP($E47,DD!$A$2:$C$150,3,0)),"",VLOOKUP($E47,DD!$A$2:$C$150,3,0)))</f>
        <v>1.5</v>
      </c>
      <c r="H47" s="59">
        <v>6.5</v>
      </c>
      <c r="I47" s="59">
        <v>5.5</v>
      </c>
      <c r="J47" s="59">
        <v>6.5</v>
      </c>
      <c r="K47" s="59">
        <v>5.5</v>
      </c>
      <c r="L47" s="59">
        <v>6</v>
      </c>
      <c r="M47" s="56"/>
      <c r="N47" s="57">
        <f t="shared" si="1"/>
        <v>27</v>
      </c>
      <c r="O47" s="57">
        <f>IF(N47="","",N47+O46)</f>
        <v>46.599999999999994</v>
      </c>
    </row>
    <row r="48" spans="1:15" x14ac:dyDescent="0.25">
      <c r="A48" s="100"/>
      <c r="B48" s="101"/>
      <c r="C48" s="102"/>
      <c r="D48" s="55">
        <v>3</v>
      </c>
      <c r="E48" s="61" t="s">
        <v>146</v>
      </c>
      <c r="F48" s="57" t="str">
        <f>IF($E48="","",IF(ISNA(VLOOKUP($E48,DD!$A$2:$C$150,2,0)),"NO SUCH DIVE",VLOOKUP($E48,DD!$A$2:$C$150,2,0)))</f>
        <v>Back somersault layout</v>
      </c>
      <c r="G48" s="55">
        <f>IF($E48="","",IF(ISNA(VLOOKUP($E48,DD!$A$2:$C$150,3,0)),"",VLOOKUP($E48,DD!$A$2:$C$150,3,0)))</f>
        <v>1.7</v>
      </c>
      <c r="H48" s="59">
        <v>5</v>
      </c>
      <c r="I48" s="59">
        <v>5.5</v>
      </c>
      <c r="J48" s="59">
        <v>5</v>
      </c>
      <c r="K48" s="59">
        <v>5</v>
      </c>
      <c r="L48" s="59">
        <v>5.5</v>
      </c>
      <c r="M48" s="56"/>
      <c r="N48" s="57">
        <f t="shared" si="1"/>
        <v>26.349999999999998</v>
      </c>
      <c r="O48" s="57">
        <f>IF(N48="","",N48+O47)</f>
        <v>72.949999999999989</v>
      </c>
    </row>
    <row r="49" spans="1:15" x14ac:dyDescent="0.25">
      <c r="A49" s="100"/>
      <c r="B49" s="101"/>
      <c r="C49" s="102"/>
      <c r="D49" s="55">
        <v>4</v>
      </c>
      <c r="E49" s="61" t="s">
        <v>158</v>
      </c>
      <c r="F49" s="57" t="str">
        <f>IF($E49="","",IF(ISNA(VLOOKUP($E49,DD!$A$2:$C$150,2,0)),"NO SUCH DIVE",VLOOKUP($E49,DD!$A$2:$C$150,2,0)))</f>
        <v>Inward somersault tuck</v>
      </c>
      <c r="G49" s="55">
        <f>IF($E49="","",IF(ISNA(VLOOKUP($E49,DD!$A$2:$C$150,3,0)),"",VLOOKUP($E49,DD!$A$2:$C$150,3,0)))</f>
        <v>1.6</v>
      </c>
      <c r="H49" s="59">
        <v>5</v>
      </c>
      <c r="I49" s="59">
        <v>4.5</v>
      </c>
      <c r="J49" s="59">
        <v>5</v>
      </c>
      <c r="K49" s="59">
        <v>5</v>
      </c>
      <c r="L49" s="59">
        <v>5</v>
      </c>
      <c r="M49" s="56">
        <v>1</v>
      </c>
      <c r="N49" s="57">
        <f t="shared" si="1"/>
        <v>14.4</v>
      </c>
      <c r="O49" s="60">
        <f>IF(N49="",0,N49+O48)</f>
        <v>87.35</v>
      </c>
    </row>
    <row r="50" spans="1:15" x14ac:dyDescent="0.25">
      <c r="A50" s="97">
        <v>13</v>
      </c>
      <c r="B50" s="107"/>
      <c r="C50" s="106"/>
      <c r="D50" s="46">
        <v>1</v>
      </c>
      <c r="E50" s="50"/>
      <c r="F50" s="45" t="str">
        <f>IF($E50="","",IF(ISNA(VLOOKUP($E50,DD!$A$2:$C$150,2,0)),"NO SUCH DIVE",VLOOKUP($E50,DD!$A$2:$C$150,2,0)))</f>
        <v/>
      </c>
      <c r="G50" s="51" t="str">
        <f>IF($E50="","",IF(ISNA(VLOOKUP($E50,DD!$A$2:$C$150,3,0)),"",VLOOKUP($E50,DD!$A$2:$C$150,3,0)))</f>
        <v/>
      </c>
      <c r="H50" s="52"/>
      <c r="I50" s="52"/>
      <c r="J50" s="52"/>
      <c r="K50" s="52"/>
      <c r="L50" s="52"/>
      <c r="M50" s="50"/>
      <c r="N50" s="45" t="str">
        <f t="shared" si="1"/>
        <v/>
      </c>
      <c r="O50" s="45" t="str">
        <f>IF(N50="","",N50)</f>
        <v/>
      </c>
    </row>
    <row r="51" spans="1:15" x14ac:dyDescent="0.25">
      <c r="A51" s="97"/>
      <c r="B51" s="107"/>
      <c r="C51" s="106"/>
      <c r="D51" s="46">
        <v>2</v>
      </c>
      <c r="E51" s="50"/>
      <c r="F51" s="45" t="str">
        <f>IF($E51="","",IF(ISNA(VLOOKUP($E51,DD!$A$2:$C$150,2,0)),"NO SUCH DIVE",VLOOKUP($E51,DD!$A$2:$C$150,2,0)))</f>
        <v/>
      </c>
      <c r="G51" s="51" t="str">
        <f>IF($E51="","",IF(ISNA(VLOOKUP($E51,DD!$A$2:$C$150,3,0)),"",VLOOKUP($E51,DD!$A$2:$C$150,3,0)))</f>
        <v/>
      </c>
      <c r="H51" s="52"/>
      <c r="I51" s="52"/>
      <c r="J51" s="52"/>
      <c r="K51" s="52"/>
      <c r="L51" s="52"/>
      <c r="M51" s="50"/>
      <c r="N51" s="45" t="str">
        <f t="shared" si="1"/>
        <v/>
      </c>
      <c r="O51" s="45" t="str">
        <f>IF(N51="","",N51+O50)</f>
        <v/>
      </c>
    </row>
    <row r="52" spans="1:15" x14ac:dyDescent="0.25">
      <c r="A52" s="97"/>
      <c r="B52" s="107"/>
      <c r="C52" s="106"/>
      <c r="D52" s="46">
        <v>3</v>
      </c>
      <c r="E52" s="50"/>
      <c r="F52" s="45" t="str">
        <f>IF($E52="","",IF(ISNA(VLOOKUP($E52,DD!$A$2:$C$150,2,0)),"NO SUCH DIVE",VLOOKUP($E52,DD!$A$2:$C$150,2,0)))</f>
        <v/>
      </c>
      <c r="G52" s="46" t="str">
        <f>IF($E52="","",IF(ISNA(VLOOKUP($E52,DD!$A$2:$C$150,3,0)),"",VLOOKUP($E52,DD!$A$2:$C$150,3,0)))</f>
        <v/>
      </c>
      <c r="H52" s="52"/>
      <c r="I52" s="52"/>
      <c r="J52" s="52"/>
      <c r="K52" s="52"/>
      <c r="L52" s="52"/>
      <c r="M52" s="50"/>
      <c r="N52" s="45" t="str">
        <f t="shared" si="1"/>
        <v/>
      </c>
      <c r="O52" s="45" t="str">
        <f>IF(N52="","",N52+O51)</f>
        <v/>
      </c>
    </row>
    <row r="53" spans="1:15" x14ac:dyDescent="0.25">
      <c r="A53" s="97"/>
      <c r="B53" s="107"/>
      <c r="C53" s="106"/>
      <c r="D53" s="46">
        <v>4</v>
      </c>
      <c r="E53" s="50"/>
      <c r="F53" s="45" t="str">
        <f>IF($E53="","",IF(ISNA(VLOOKUP($E53,DD!$A$2:$C$150,2,0)),"NO SUCH DIVE",VLOOKUP($E53,DD!$A$2:$C$150,2,0)))</f>
        <v/>
      </c>
      <c r="G53" s="46" t="str">
        <f>IF($E53="","",IF(ISNA(VLOOKUP($E53,DD!$A$2:$C$150,3,0)),"",VLOOKUP($E53,DD!$A$2:$C$150,3,0)))</f>
        <v/>
      </c>
      <c r="H53" s="52"/>
      <c r="I53" s="52"/>
      <c r="J53" s="52"/>
      <c r="K53" s="52"/>
      <c r="L53" s="52"/>
      <c r="M53" s="50"/>
      <c r="N53" s="45" t="str">
        <f t="shared" si="1"/>
        <v/>
      </c>
      <c r="O53" s="54">
        <f>IF(N53="",0,N53+O52)</f>
        <v>0</v>
      </c>
    </row>
    <row r="54" spans="1:15" ht="15" customHeight="1" x14ac:dyDescent="0.25">
      <c r="A54" s="100">
        <v>14</v>
      </c>
      <c r="B54" s="101" t="s">
        <v>159</v>
      </c>
      <c r="C54" s="102" t="s">
        <v>49</v>
      </c>
      <c r="D54" s="55">
        <v>1</v>
      </c>
      <c r="E54" s="56" t="s">
        <v>118</v>
      </c>
      <c r="F54" s="57" t="str">
        <f>IF($E54="","",IF(ISNA(VLOOKUP($E54,DD!$A$2:$C$150,2,0)),"NO SUCH DIVE",VLOOKUP($E54,DD!$A$2:$C$150,2,0)))</f>
        <v>Front dive tuck</v>
      </c>
      <c r="G54" s="58">
        <f>IF($E54="","",IF(ISNA(VLOOKUP($E54,DD!$A$2:$C$150,3,0)),"",VLOOKUP($E54,DD!$A$2:$C$150,3,0)))</f>
        <v>1.3</v>
      </c>
      <c r="H54" s="59">
        <v>5</v>
      </c>
      <c r="I54" s="59">
        <v>5</v>
      </c>
      <c r="J54" s="59">
        <v>5.5</v>
      </c>
      <c r="K54" s="59">
        <v>5</v>
      </c>
      <c r="L54" s="59">
        <v>5.5</v>
      </c>
      <c r="M54" s="56"/>
      <c r="N54" s="57">
        <f t="shared" si="1"/>
        <v>20.150000000000002</v>
      </c>
      <c r="O54" s="57">
        <f>IF(N54="","",N54)</f>
        <v>20.150000000000002</v>
      </c>
    </row>
    <row r="55" spans="1:15" x14ac:dyDescent="0.25">
      <c r="A55" s="100"/>
      <c r="B55" s="101"/>
      <c r="C55" s="102"/>
      <c r="D55" s="55">
        <v>2</v>
      </c>
      <c r="E55" s="56" t="s">
        <v>115</v>
      </c>
      <c r="F55" s="57" t="str">
        <f>IF($E55="","",IF(ISNA(VLOOKUP($E55,DD!$A$2:$C$150,2,0)),"NO SUCH DIVE",VLOOKUP($E55,DD!$A$2:$C$150,2,0)))</f>
        <v>Back dive layout</v>
      </c>
      <c r="G55" s="58">
        <f>IF($E55="","",IF(ISNA(VLOOKUP($E55,DD!$A$2:$C$150,3,0)),"",VLOOKUP($E55,DD!$A$2:$C$150,3,0)))</f>
        <v>1.4</v>
      </c>
      <c r="H55" s="59">
        <v>5</v>
      </c>
      <c r="I55" s="59">
        <v>5</v>
      </c>
      <c r="J55" s="59">
        <v>5</v>
      </c>
      <c r="K55" s="59">
        <v>5.5</v>
      </c>
      <c r="L55" s="59">
        <v>5</v>
      </c>
      <c r="M55" s="56"/>
      <c r="N55" s="57">
        <f t="shared" si="1"/>
        <v>21</v>
      </c>
      <c r="O55" s="57">
        <f>IF(N55="","",N55+O54)</f>
        <v>41.150000000000006</v>
      </c>
    </row>
    <row r="56" spans="1:15" x14ac:dyDescent="0.25">
      <c r="A56" s="100"/>
      <c r="B56" s="101"/>
      <c r="C56" s="102"/>
      <c r="D56" s="55">
        <v>3</v>
      </c>
      <c r="E56" s="56" t="s">
        <v>123</v>
      </c>
      <c r="F56" s="57" t="str">
        <f>IF($E56="","",IF(ISNA(VLOOKUP($E56,DD!$A$2:$C$150,2,0)),"NO SUCH DIVE",VLOOKUP($E56,DD!$A$2:$C$150,2,0)))</f>
        <v>Inward dive tuck</v>
      </c>
      <c r="G56" s="55">
        <f>IF($E56="","",IF(ISNA(VLOOKUP($E56,DD!$A$2:$C$150,3,0)),"",VLOOKUP($E56,DD!$A$2:$C$150,3,0)))</f>
        <v>1.5</v>
      </c>
      <c r="H56" s="59">
        <v>5.5</v>
      </c>
      <c r="I56" s="59">
        <v>5</v>
      </c>
      <c r="J56" s="59">
        <v>5</v>
      </c>
      <c r="K56" s="59">
        <v>4.5</v>
      </c>
      <c r="L56" s="59">
        <v>5</v>
      </c>
      <c r="M56" s="56"/>
      <c r="N56" s="57">
        <f t="shared" si="1"/>
        <v>22.5</v>
      </c>
      <c r="O56" s="57">
        <f>IF(N56="","",N56+O55)</f>
        <v>63.650000000000006</v>
      </c>
    </row>
    <row r="57" spans="1:15" x14ac:dyDescent="0.25">
      <c r="A57" s="100"/>
      <c r="B57" s="101"/>
      <c r="C57" s="102"/>
      <c r="D57" s="55">
        <v>4</v>
      </c>
      <c r="E57" s="56" t="s">
        <v>132</v>
      </c>
      <c r="F57" s="57" t="str">
        <f>IF($E57="","",IF(ISNA(VLOOKUP($E57,DD!$A$2:$C$150,2,0)),"NO SUCH DIVE",VLOOKUP($E57,DD!$A$2:$C$150,2,0)))</f>
        <v>Back somersault layout</v>
      </c>
      <c r="G57" s="55">
        <f>IF($E57="","",IF(ISNA(VLOOKUP($E57,DD!$A$2:$C$150,3,0)),"",VLOOKUP($E57,DD!$A$2:$C$150,3,0)))</f>
        <v>1.7</v>
      </c>
      <c r="H57" s="59">
        <v>4</v>
      </c>
      <c r="I57" s="59">
        <v>5</v>
      </c>
      <c r="J57" s="59">
        <v>4</v>
      </c>
      <c r="K57" s="59">
        <v>4.5</v>
      </c>
      <c r="L57" s="59">
        <v>4.5</v>
      </c>
      <c r="M57" s="56"/>
      <c r="N57" s="57">
        <f t="shared" si="1"/>
        <v>22.099999999999998</v>
      </c>
      <c r="O57" s="60">
        <f>IF(N57="",0,N57+O56)</f>
        <v>85.75</v>
      </c>
    </row>
    <row r="58" spans="1:15" x14ac:dyDescent="0.25">
      <c r="A58" s="97">
        <v>15</v>
      </c>
      <c r="B58" s="107"/>
      <c r="C58" s="102"/>
      <c r="D58" s="46">
        <v>1</v>
      </c>
      <c r="E58" s="50"/>
      <c r="F58" s="45" t="str">
        <f>IF($E58="","",IF(ISNA(VLOOKUP($E58,DD!$A$2:$C$150,2,0)),"NO SUCH DIVE",VLOOKUP($E58,DD!$A$2:$C$150,2,0)))</f>
        <v/>
      </c>
      <c r="G58" s="51" t="str">
        <f>IF($E58="","",IF(ISNA(VLOOKUP($E58,DD!$A$2:$C$150,3,0)),"",VLOOKUP($E58,DD!$A$2:$C$150,3,0)))</f>
        <v/>
      </c>
      <c r="H58" s="52"/>
      <c r="I58" s="52"/>
      <c r="J58" s="52"/>
      <c r="K58" s="52"/>
      <c r="L58" s="52"/>
      <c r="M58" s="50"/>
      <c r="N58" s="45" t="str">
        <f t="shared" si="1"/>
        <v/>
      </c>
      <c r="O58" s="45" t="str">
        <f>IF(N58="","",N58)</f>
        <v/>
      </c>
    </row>
    <row r="59" spans="1:15" x14ac:dyDescent="0.25">
      <c r="A59" s="97"/>
      <c r="B59" s="107"/>
      <c r="C59" s="102"/>
      <c r="D59" s="46">
        <v>2</v>
      </c>
      <c r="E59" s="62"/>
      <c r="F59" s="45" t="str">
        <f>IF($E59="","",IF(ISNA(VLOOKUP($E59,DD!$A$2:$C$150,2,0)),"NO SUCH DIVE",VLOOKUP($E59,DD!$A$2:$C$150,2,0)))</f>
        <v/>
      </c>
      <c r="G59" s="51" t="str">
        <f>IF($E59="","",IF(ISNA(VLOOKUP($E59,DD!$A$2:$C$150,3,0)),"",VLOOKUP($E59,DD!$A$2:$C$150,3,0)))</f>
        <v/>
      </c>
      <c r="H59" s="52"/>
      <c r="I59" s="52"/>
      <c r="J59" s="52"/>
      <c r="K59" s="52"/>
      <c r="L59" s="52"/>
      <c r="M59" s="50"/>
      <c r="N59" s="45" t="str">
        <f t="shared" si="1"/>
        <v/>
      </c>
      <c r="O59" s="45" t="str">
        <f>IF(N59="","",N59+O58)</f>
        <v/>
      </c>
    </row>
    <row r="60" spans="1:15" x14ac:dyDescent="0.25">
      <c r="A60" s="97"/>
      <c r="B60" s="107"/>
      <c r="C60" s="102"/>
      <c r="D60" s="46">
        <v>3</v>
      </c>
      <c r="E60" s="50"/>
      <c r="F60" s="45" t="str">
        <f>IF($E60="","",IF(ISNA(VLOOKUP($E60,DD!$A$2:$C$150,2,0)),"NO SUCH DIVE",VLOOKUP($E60,DD!$A$2:$C$150,2,0)))</f>
        <v/>
      </c>
      <c r="G60" s="46" t="str">
        <f>IF($E60="","",IF(ISNA(VLOOKUP($E60,DD!$A$2:$C$150,3,0)),"",VLOOKUP($E60,DD!$A$2:$C$150,3,0)))</f>
        <v/>
      </c>
      <c r="H60" s="52"/>
      <c r="I60" s="52"/>
      <c r="J60" s="52"/>
      <c r="K60" s="52"/>
      <c r="L60" s="52"/>
      <c r="M60" s="50"/>
      <c r="N60" s="45" t="str">
        <f t="shared" si="1"/>
        <v/>
      </c>
      <c r="O60" s="45" t="str">
        <f>IF(N60="","",N60+O59)</f>
        <v/>
      </c>
    </row>
    <row r="61" spans="1:15" x14ac:dyDescent="0.25">
      <c r="A61" s="97"/>
      <c r="B61" s="107"/>
      <c r="C61" s="102"/>
      <c r="D61" s="46">
        <v>4</v>
      </c>
      <c r="E61" s="62"/>
      <c r="F61" s="45" t="str">
        <f>IF($E61="","",IF(ISNA(VLOOKUP($E61,DD!$A$2:$C$150,2,0)),"NO SUCH DIVE",VLOOKUP($E61,DD!$A$2:$C$150,2,0)))</f>
        <v/>
      </c>
      <c r="G61" s="46" t="str">
        <f>IF($E61="","",IF(ISNA(VLOOKUP($E61,DD!$A$2:$C$150,3,0)),"",VLOOKUP($E61,DD!$A$2:$C$150,3,0)))</f>
        <v/>
      </c>
      <c r="H61" s="52"/>
      <c r="I61" s="52"/>
      <c r="J61" s="52"/>
      <c r="K61" s="52"/>
      <c r="L61" s="52"/>
      <c r="M61" s="50"/>
      <c r="N61" s="45" t="str">
        <f t="shared" si="1"/>
        <v/>
      </c>
      <c r="O61" s="54">
        <f>IF(N61="",0,N61+O60)</f>
        <v>0</v>
      </c>
    </row>
    <row r="62" spans="1:15" x14ac:dyDescent="0.25">
      <c r="A62" s="100">
        <v>16</v>
      </c>
      <c r="B62" s="101"/>
      <c r="C62" s="102"/>
      <c r="D62" s="55">
        <v>1</v>
      </c>
      <c r="E62" s="56"/>
      <c r="F62" s="57" t="str">
        <f>IF($E62="","",IF(ISNA(VLOOKUP($E62,DD!$A$2:$C$150,2,0)),"NO SUCH DIVE",VLOOKUP($E62,DD!$A$2:$C$150,2,0)))</f>
        <v/>
      </c>
      <c r="G62" s="58" t="str">
        <f>IF($E62="","",IF(ISNA(VLOOKUP($E62,DD!$A$2:$C$150,3,0)),"",VLOOKUP($E62,DD!$A$2:$C$150,3,0)))</f>
        <v/>
      </c>
      <c r="H62" s="59"/>
      <c r="I62" s="59"/>
      <c r="J62" s="59"/>
      <c r="K62" s="59"/>
      <c r="L62" s="59"/>
      <c r="M62" s="56"/>
      <c r="N62" s="57" t="str">
        <f t="shared" si="1"/>
        <v/>
      </c>
      <c r="O62" s="57" t="str">
        <f>IF(N62="","",N62)</f>
        <v/>
      </c>
    </row>
    <row r="63" spans="1:15" x14ac:dyDescent="0.25">
      <c r="A63" s="100"/>
      <c r="B63" s="101"/>
      <c r="C63" s="102"/>
      <c r="D63" s="55">
        <v>2</v>
      </c>
      <c r="E63" s="56"/>
      <c r="F63" s="57" t="str">
        <f>IF($E63="","",IF(ISNA(VLOOKUP($E63,DD!$A$2:$C$150,2,0)),"NO SUCH DIVE",VLOOKUP($E63,DD!$A$2:$C$150,2,0)))</f>
        <v/>
      </c>
      <c r="G63" s="58" t="str">
        <f>IF($E63="","",IF(ISNA(VLOOKUP($E63,DD!$A$2:$C$150,3,0)),"",VLOOKUP($E63,DD!$A$2:$C$150,3,0)))</f>
        <v/>
      </c>
      <c r="H63" s="59"/>
      <c r="I63" s="59"/>
      <c r="J63" s="59"/>
      <c r="K63" s="59"/>
      <c r="L63" s="59"/>
      <c r="M63" s="56"/>
      <c r="N63" s="57" t="str">
        <f t="shared" si="1"/>
        <v/>
      </c>
      <c r="O63" s="57" t="str">
        <f>IF(N63="","",N63+O62)</f>
        <v/>
      </c>
    </row>
    <row r="64" spans="1:15" x14ac:dyDescent="0.25">
      <c r="A64" s="100"/>
      <c r="B64" s="101"/>
      <c r="C64" s="102"/>
      <c r="D64" s="55">
        <v>3</v>
      </c>
      <c r="E64" s="56"/>
      <c r="F64" s="57" t="str">
        <f>IF($E64="","",IF(ISNA(VLOOKUP($E64,DD!$A$2:$C$150,2,0)),"NO SUCH DIVE",VLOOKUP($E64,DD!$A$2:$C$150,2,0)))</f>
        <v/>
      </c>
      <c r="G64" s="55" t="str">
        <f>IF($E64="","",IF(ISNA(VLOOKUP($E64,DD!$A$2:$C$150,3,0)),"",VLOOKUP($E64,DD!$A$2:$C$150,3,0)))</f>
        <v/>
      </c>
      <c r="H64" s="59"/>
      <c r="I64" s="59"/>
      <c r="J64" s="59"/>
      <c r="K64" s="59"/>
      <c r="L64" s="59"/>
      <c r="M64" s="56"/>
      <c r="N64" s="57" t="str">
        <f t="shared" si="1"/>
        <v/>
      </c>
      <c r="O64" s="57" t="str">
        <f>IF(N64="","",N64+O63)</f>
        <v/>
      </c>
    </row>
    <row r="65" spans="1:15" x14ac:dyDescent="0.25">
      <c r="A65" s="100"/>
      <c r="B65" s="101"/>
      <c r="C65" s="102"/>
      <c r="D65" s="55">
        <v>4</v>
      </c>
      <c r="E65" s="56"/>
      <c r="F65" s="57" t="str">
        <f>IF($E65="","",IF(ISNA(VLOOKUP($E65,DD!$A$2:$C$150,2,0)),"NO SUCH DIVE",VLOOKUP($E65,DD!$A$2:$C$150,2,0)))</f>
        <v/>
      </c>
      <c r="G65" s="55" t="str">
        <f>IF($E65="","",IF(ISNA(VLOOKUP($E65,DD!$A$2:$C$150,3,0)),"",VLOOKUP($E65,DD!$A$2:$C$150,3,0)))</f>
        <v/>
      </c>
      <c r="H65" s="59"/>
      <c r="I65" s="59"/>
      <c r="J65" s="59"/>
      <c r="K65" s="59"/>
      <c r="L65" s="59"/>
      <c r="M65" s="56"/>
      <c r="N65" s="57" t="str">
        <f t="shared" si="1"/>
        <v/>
      </c>
      <c r="O65" s="60">
        <f>IF(N65="",0,N65+O64)</f>
        <v>0</v>
      </c>
    </row>
    <row r="66" spans="1:15" x14ac:dyDescent="0.25">
      <c r="A66" s="97">
        <v>17</v>
      </c>
      <c r="B66" s="107"/>
      <c r="C66" s="106"/>
      <c r="D66" s="46">
        <v>1</v>
      </c>
      <c r="E66" s="50"/>
      <c r="F66" s="45" t="str">
        <f>IF($E66="","",IF(ISNA(VLOOKUP($E66,DD!$A$2:$C$150,2,0)),"NO SUCH DIVE",VLOOKUP($E66,DD!$A$2:$C$150,2,0)))</f>
        <v/>
      </c>
      <c r="G66" s="51" t="str">
        <f>IF($E66="","",IF(ISNA(VLOOKUP($E66,DD!$A$2:$C$150,3,0)),"",VLOOKUP($E66,DD!$A$2:$C$150,3,0)))</f>
        <v/>
      </c>
      <c r="H66" s="52"/>
      <c r="I66" s="52"/>
      <c r="J66" s="52"/>
      <c r="K66" s="52"/>
      <c r="L66" s="52"/>
      <c r="M66" s="50"/>
      <c r="N66" s="45" t="str">
        <f t="shared" ref="N66:N97" si="2">IF(G66="","",IF(COUNT(H66:L66)=3,IF(M66&lt;&gt;"",(SUM(H66:J66)-6)*G66,SUM(H66:J66)*G66),IF(M66&lt;&gt;"",(SUM(H66:L66)-MAX(H66:L66)-MIN(H66:L66)-6)*G66,(SUM(H66:L66)-MAX(H66:L66)-MIN(H66:L66))*G66)))</f>
        <v/>
      </c>
      <c r="O66" s="45" t="str">
        <f>IF(N66="","",N66)</f>
        <v/>
      </c>
    </row>
    <row r="67" spans="1:15" x14ac:dyDescent="0.25">
      <c r="A67" s="97"/>
      <c r="B67" s="107"/>
      <c r="C67" s="106"/>
      <c r="D67" s="46">
        <v>2</v>
      </c>
      <c r="E67" s="50"/>
      <c r="F67" s="45" t="str">
        <f>IF($E67="","",IF(ISNA(VLOOKUP($E67,DD!$A$2:$C$150,2,0)),"NO SUCH DIVE",VLOOKUP($E67,DD!$A$2:$C$150,2,0)))</f>
        <v/>
      </c>
      <c r="G67" s="51" t="str">
        <f>IF($E67="","",IF(ISNA(VLOOKUP($E67,DD!$A$2:$C$150,3,0)),"",VLOOKUP($E67,DD!$A$2:$C$150,3,0)))</f>
        <v/>
      </c>
      <c r="H67" s="52"/>
      <c r="I67" s="52"/>
      <c r="J67" s="52"/>
      <c r="K67" s="52"/>
      <c r="L67" s="52"/>
      <c r="M67" s="50"/>
      <c r="N67" s="45" t="str">
        <f t="shared" si="2"/>
        <v/>
      </c>
      <c r="O67" s="45" t="str">
        <f>IF(N67="","",N67+O66)</f>
        <v/>
      </c>
    </row>
    <row r="68" spans="1:15" x14ac:dyDescent="0.25">
      <c r="A68" s="97"/>
      <c r="B68" s="107"/>
      <c r="C68" s="106"/>
      <c r="D68" s="46">
        <v>3</v>
      </c>
      <c r="E68" s="50"/>
      <c r="F68" s="45" t="str">
        <f>IF($E68="","",IF(ISNA(VLOOKUP($E68,DD!$A$2:$C$150,2,0)),"NO SUCH DIVE",VLOOKUP($E68,DD!$A$2:$C$150,2,0)))</f>
        <v/>
      </c>
      <c r="G68" s="46" t="str">
        <f>IF($E68="","",IF(ISNA(VLOOKUP($E68,DD!$A$2:$C$150,3,0)),"",VLOOKUP($E68,DD!$A$2:$C$150,3,0)))</f>
        <v/>
      </c>
      <c r="H68" s="52"/>
      <c r="I68" s="52"/>
      <c r="J68" s="52"/>
      <c r="K68" s="52"/>
      <c r="L68" s="52"/>
      <c r="M68" s="50"/>
      <c r="N68" s="45" t="str">
        <f t="shared" si="2"/>
        <v/>
      </c>
      <c r="O68" s="45" t="str">
        <f>IF(N68="","",N68+O67)</f>
        <v/>
      </c>
    </row>
    <row r="69" spans="1:15" x14ac:dyDescent="0.25">
      <c r="A69" s="97"/>
      <c r="B69" s="107"/>
      <c r="C69" s="106"/>
      <c r="D69" s="46">
        <v>4</v>
      </c>
      <c r="E69" s="50"/>
      <c r="F69" s="45" t="str">
        <f>IF($E69="","",IF(ISNA(VLOOKUP($E69,DD!$A$2:$C$150,2,0)),"NO SUCH DIVE",VLOOKUP($E69,DD!$A$2:$C$150,2,0)))</f>
        <v/>
      </c>
      <c r="G69" s="46" t="str">
        <f>IF($E69="","",IF(ISNA(VLOOKUP($E69,DD!$A$2:$C$150,3,0)),"",VLOOKUP($E69,DD!$A$2:$C$150,3,0)))</f>
        <v/>
      </c>
      <c r="H69" s="52"/>
      <c r="I69" s="52"/>
      <c r="J69" s="52"/>
      <c r="K69" s="52"/>
      <c r="L69" s="52"/>
      <c r="M69" s="50"/>
      <c r="N69" s="45" t="str">
        <f t="shared" si="2"/>
        <v/>
      </c>
      <c r="O69" s="54">
        <f>IF(N69="",0,N69+O68)</f>
        <v>0</v>
      </c>
    </row>
    <row r="70" spans="1:15" x14ac:dyDescent="0.25">
      <c r="A70" s="100">
        <v>18</v>
      </c>
      <c r="B70" s="101"/>
      <c r="C70" s="102"/>
      <c r="D70" s="55">
        <v>1</v>
      </c>
      <c r="E70" s="56"/>
      <c r="F70" s="57" t="str">
        <f>IF($E70="","",IF(ISNA(VLOOKUP($E70,DD!$A$2:$C$150,2,0)),"NO SUCH DIVE",VLOOKUP($E70,DD!$A$2:$C$150,2,0)))</f>
        <v/>
      </c>
      <c r="G70" s="58" t="str">
        <f>IF($E70="","",IF(ISNA(VLOOKUP($E70,DD!$A$2:$C$150,3,0)),"",VLOOKUP($E70,DD!$A$2:$C$150,3,0)))</f>
        <v/>
      </c>
      <c r="H70" s="59"/>
      <c r="I70" s="59"/>
      <c r="J70" s="59"/>
      <c r="K70" s="59"/>
      <c r="L70" s="59"/>
      <c r="M70" s="56"/>
      <c r="N70" s="57" t="str">
        <f t="shared" si="2"/>
        <v/>
      </c>
      <c r="O70" s="57" t="str">
        <f>IF(N70="","",N70)</f>
        <v/>
      </c>
    </row>
    <row r="71" spans="1:15" x14ac:dyDescent="0.25">
      <c r="A71" s="100"/>
      <c r="B71" s="101"/>
      <c r="C71" s="102"/>
      <c r="D71" s="55">
        <v>2</v>
      </c>
      <c r="E71" s="56"/>
      <c r="F71" s="57" t="str">
        <f>IF($E71="","",IF(ISNA(VLOOKUP($E71,DD!$A$2:$C$150,2,0)),"NO SUCH DIVE",VLOOKUP($E71,DD!$A$2:$C$150,2,0)))</f>
        <v/>
      </c>
      <c r="G71" s="58" t="str">
        <f>IF($E71="","",IF(ISNA(VLOOKUP($E71,DD!$A$2:$C$150,3,0)),"",VLOOKUP($E71,DD!$A$2:$C$150,3,0)))</f>
        <v/>
      </c>
      <c r="H71" s="59"/>
      <c r="I71" s="59"/>
      <c r="J71" s="59"/>
      <c r="K71" s="59"/>
      <c r="L71" s="59"/>
      <c r="M71" s="56"/>
      <c r="N71" s="57" t="str">
        <f t="shared" si="2"/>
        <v/>
      </c>
      <c r="O71" s="57" t="str">
        <f>IF(N71="","",N71+O70)</f>
        <v/>
      </c>
    </row>
    <row r="72" spans="1:15" x14ac:dyDescent="0.25">
      <c r="A72" s="100"/>
      <c r="B72" s="101"/>
      <c r="C72" s="102"/>
      <c r="D72" s="55">
        <v>3</v>
      </c>
      <c r="E72" s="61"/>
      <c r="F72" s="57" t="str">
        <f>IF($E72="","",IF(ISNA(VLOOKUP($E72,DD!$A$2:$C$150,2,0)),"NO SUCH DIVE",VLOOKUP($E72,DD!$A$2:$C$150,2,0)))</f>
        <v/>
      </c>
      <c r="G72" s="55" t="str">
        <f>IF($E72="","",IF(ISNA(VLOOKUP($E72,DD!$A$2:$C$150,3,0)),"",VLOOKUP($E72,DD!$A$2:$C$150,3,0)))</f>
        <v/>
      </c>
      <c r="H72" s="59"/>
      <c r="I72" s="59"/>
      <c r="J72" s="59"/>
      <c r="K72" s="59"/>
      <c r="L72" s="59"/>
      <c r="M72" s="56"/>
      <c r="N72" s="57" t="str">
        <f t="shared" si="2"/>
        <v/>
      </c>
      <c r="O72" s="57" t="str">
        <f>IF(N72="","",N72+O71)</f>
        <v/>
      </c>
    </row>
    <row r="73" spans="1:15" x14ac:dyDescent="0.25">
      <c r="A73" s="100"/>
      <c r="B73" s="101"/>
      <c r="C73" s="102"/>
      <c r="D73" s="55">
        <v>4</v>
      </c>
      <c r="E73" s="61"/>
      <c r="F73" s="57" t="str">
        <f>IF($E73="","",IF(ISNA(VLOOKUP($E73,DD!$A$2:$C$150,2,0)),"NO SUCH DIVE",VLOOKUP($E73,DD!$A$2:$C$150,2,0)))</f>
        <v/>
      </c>
      <c r="G73" s="55" t="str">
        <f>IF($E73="","",IF(ISNA(VLOOKUP($E73,DD!$A$2:$C$150,3,0)),"",VLOOKUP($E73,DD!$A$2:$C$150,3,0)))</f>
        <v/>
      </c>
      <c r="H73" s="59"/>
      <c r="I73" s="59"/>
      <c r="J73" s="59"/>
      <c r="K73" s="59"/>
      <c r="L73" s="59"/>
      <c r="M73" s="56"/>
      <c r="N73" s="57" t="str">
        <f t="shared" si="2"/>
        <v/>
      </c>
      <c r="O73" s="60">
        <f>IF(N73="",0,N73+O72)</f>
        <v>0</v>
      </c>
    </row>
    <row r="74" spans="1:15" x14ac:dyDescent="0.25">
      <c r="A74" s="97">
        <v>19</v>
      </c>
      <c r="B74" s="107"/>
      <c r="C74" s="106"/>
      <c r="D74" s="46">
        <v>1</v>
      </c>
      <c r="E74" s="50"/>
      <c r="F74" s="45" t="str">
        <f>IF($E74="","",IF(ISNA(VLOOKUP($E74,DD!$A$2:$C$150,2,0)),"NO SUCH DIVE",VLOOKUP($E74,DD!$A$2:$C$150,2,0)))</f>
        <v/>
      </c>
      <c r="G74" s="51" t="str">
        <f>IF($E74="","",IF(ISNA(VLOOKUP($E74,DD!$A$2:$C$150,3,0)),"",VLOOKUP($E74,DD!$A$2:$C$150,3,0)))</f>
        <v/>
      </c>
      <c r="H74" s="52"/>
      <c r="I74" s="52"/>
      <c r="J74" s="52"/>
      <c r="K74" s="52"/>
      <c r="L74" s="52"/>
      <c r="M74" s="50"/>
      <c r="N74" s="45" t="str">
        <f t="shared" si="2"/>
        <v/>
      </c>
      <c r="O74" s="45" t="str">
        <f>IF(N74="","",N74)</f>
        <v/>
      </c>
    </row>
    <row r="75" spans="1:15" ht="15" customHeight="1" x14ac:dyDescent="0.25">
      <c r="A75" s="97"/>
      <c r="B75" s="107"/>
      <c r="C75" s="106"/>
      <c r="D75" s="46">
        <v>2</v>
      </c>
      <c r="E75" s="62"/>
      <c r="F75" s="45" t="str">
        <f>IF($E75="","",IF(ISNA(VLOOKUP($E75,DD!$A$2:$C$150,2,0)),"NO SUCH DIVE",VLOOKUP($E75,DD!$A$2:$C$150,2,0)))</f>
        <v/>
      </c>
      <c r="G75" s="51" t="str">
        <f>IF($E75="","",IF(ISNA(VLOOKUP($E75,DD!$A$2:$C$150,3,0)),"",VLOOKUP($E75,DD!$A$2:$C$150,3,0)))</f>
        <v/>
      </c>
      <c r="H75" s="52"/>
      <c r="I75" s="52"/>
      <c r="J75" s="52"/>
      <c r="K75" s="52"/>
      <c r="L75" s="52"/>
      <c r="M75" s="50"/>
      <c r="N75" s="45" t="str">
        <f t="shared" si="2"/>
        <v/>
      </c>
      <c r="O75" s="45" t="str">
        <f>IF(N75="","",N75+O74)</f>
        <v/>
      </c>
    </row>
    <row r="76" spans="1:15" x14ac:dyDescent="0.25">
      <c r="A76" s="97"/>
      <c r="B76" s="107"/>
      <c r="C76" s="106"/>
      <c r="D76" s="46">
        <v>3</v>
      </c>
      <c r="E76" s="62"/>
      <c r="F76" s="45" t="str">
        <f>IF($E76="","",IF(ISNA(VLOOKUP($E76,DD!$A$2:$C$150,2,0)),"NO SUCH DIVE",VLOOKUP($E76,DD!$A$2:$C$150,2,0)))</f>
        <v/>
      </c>
      <c r="G76" s="46" t="str">
        <f>IF($E76="","",IF(ISNA(VLOOKUP($E76,DD!$A$2:$C$150,3,0)),"",VLOOKUP($E76,DD!$A$2:$C$150,3,0)))</f>
        <v/>
      </c>
      <c r="H76" s="52"/>
      <c r="I76" s="52"/>
      <c r="J76" s="52"/>
      <c r="K76" s="52"/>
      <c r="L76" s="52"/>
      <c r="M76" s="50"/>
      <c r="N76" s="45" t="str">
        <f t="shared" si="2"/>
        <v/>
      </c>
      <c r="O76" s="45" t="str">
        <f>IF(N76="","",N76+O75)</f>
        <v/>
      </c>
    </row>
    <row r="77" spans="1:15" x14ac:dyDescent="0.25">
      <c r="A77" s="97"/>
      <c r="B77" s="107"/>
      <c r="C77" s="106"/>
      <c r="D77" s="46">
        <v>4</v>
      </c>
      <c r="E77" s="62"/>
      <c r="F77" s="45" t="str">
        <f>IF($E77="","",IF(ISNA(VLOOKUP($E77,DD!$A$2:$C$150,2,0)),"NO SUCH DIVE",VLOOKUP($E77,DD!$A$2:$C$150,2,0)))</f>
        <v/>
      </c>
      <c r="G77" s="46" t="str">
        <f>IF($E77="","",IF(ISNA(VLOOKUP($E77,DD!$A$2:$C$150,3,0)),"",VLOOKUP($E77,DD!$A$2:$C$150,3,0)))</f>
        <v/>
      </c>
      <c r="H77" s="52"/>
      <c r="I77" s="52"/>
      <c r="J77" s="52"/>
      <c r="K77" s="52"/>
      <c r="L77" s="52"/>
      <c r="M77" s="50"/>
      <c r="N77" s="45" t="str">
        <f t="shared" si="2"/>
        <v/>
      </c>
      <c r="O77" s="54">
        <f>IF(N77="",0,N77+O76)</f>
        <v>0</v>
      </c>
    </row>
    <row r="78" spans="1:15" x14ac:dyDescent="0.25">
      <c r="A78" s="100">
        <v>20</v>
      </c>
      <c r="B78" s="101"/>
      <c r="C78" s="102"/>
      <c r="D78" s="55">
        <v>1</v>
      </c>
      <c r="E78" s="56"/>
      <c r="F78" s="57" t="str">
        <f>IF($E78="","",IF(ISNA(VLOOKUP($E78,DD!$A$2:$C$150,2,0)),"NO SUCH DIVE",VLOOKUP($E78,DD!$A$2:$C$150,2,0)))</f>
        <v/>
      </c>
      <c r="G78" s="58" t="str">
        <f>IF($E78="","",IF(ISNA(VLOOKUP($E78,DD!$A$2:$C$150,3,0)),"",VLOOKUP($E78,DD!$A$2:$C$150,3,0)))</f>
        <v/>
      </c>
      <c r="H78" s="59"/>
      <c r="I78" s="59"/>
      <c r="J78" s="59"/>
      <c r="K78" s="59"/>
      <c r="L78" s="59"/>
      <c r="M78" s="56"/>
      <c r="N78" s="57" t="str">
        <f t="shared" si="2"/>
        <v/>
      </c>
      <c r="O78" s="57" t="str">
        <f>IF(N78="","",N78)</f>
        <v/>
      </c>
    </row>
    <row r="79" spans="1:15" x14ac:dyDescent="0.25">
      <c r="A79" s="100"/>
      <c r="B79" s="101"/>
      <c r="C79" s="102"/>
      <c r="D79" s="55">
        <v>2</v>
      </c>
      <c r="E79" s="56"/>
      <c r="F79" s="57" t="str">
        <f>IF($E79="","",IF(ISNA(VLOOKUP($E79,DD!$A$2:$C$150,2,0)),"NO SUCH DIVE",VLOOKUP($E79,DD!$A$2:$C$150,2,0)))</f>
        <v/>
      </c>
      <c r="G79" s="58" t="str">
        <f>IF($E79="","",IF(ISNA(VLOOKUP($E79,DD!$A$2:$C$150,3,0)),"",VLOOKUP($E79,DD!$A$2:$C$150,3,0)))</f>
        <v/>
      </c>
      <c r="H79" s="59"/>
      <c r="I79" s="59"/>
      <c r="J79" s="59"/>
      <c r="K79" s="59"/>
      <c r="L79" s="59"/>
      <c r="M79" s="56"/>
      <c r="N79" s="57" t="str">
        <f t="shared" si="2"/>
        <v/>
      </c>
      <c r="O79" s="57" t="str">
        <f>IF(N79="","",N79+O78)</f>
        <v/>
      </c>
    </row>
    <row r="80" spans="1:15" x14ac:dyDescent="0.25">
      <c r="A80" s="100"/>
      <c r="B80" s="101"/>
      <c r="C80" s="102"/>
      <c r="D80" s="55">
        <v>3</v>
      </c>
      <c r="E80" s="56"/>
      <c r="F80" s="57" t="str">
        <f>IF($E80="","",IF(ISNA(VLOOKUP($E80,DD!$A$2:$C$150,2,0)),"NO SUCH DIVE",VLOOKUP($E80,DD!$A$2:$C$150,2,0)))</f>
        <v/>
      </c>
      <c r="G80" s="55" t="str">
        <f>IF($E80="","",IF(ISNA(VLOOKUP($E80,DD!$A$2:$C$150,3,0)),"",VLOOKUP($E80,DD!$A$2:$C$150,3,0)))</f>
        <v/>
      </c>
      <c r="H80" s="59"/>
      <c r="I80" s="59"/>
      <c r="J80" s="59"/>
      <c r="K80" s="59"/>
      <c r="L80" s="59"/>
      <c r="M80" s="56"/>
      <c r="N80" s="57" t="str">
        <f t="shared" si="2"/>
        <v/>
      </c>
      <c r="O80" s="57" t="str">
        <f>IF(N80="","",N80+O79)</f>
        <v/>
      </c>
    </row>
    <row r="81" spans="1:15" x14ac:dyDescent="0.25">
      <c r="A81" s="100"/>
      <c r="B81" s="101"/>
      <c r="C81" s="102"/>
      <c r="D81" s="55">
        <v>4</v>
      </c>
      <c r="E81" s="56"/>
      <c r="F81" s="57" t="str">
        <f>IF($E81="","",IF(ISNA(VLOOKUP($E81,DD!$A$2:$C$150,2,0)),"NO SUCH DIVE",VLOOKUP($E81,DD!$A$2:$C$150,2,0)))</f>
        <v/>
      </c>
      <c r="G81" s="55" t="str">
        <f>IF($E81="","",IF(ISNA(VLOOKUP($E81,DD!$A$2:$C$150,3,0)),"",VLOOKUP($E81,DD!$A$2:$C$150,3,0)))</f>
        <v/>
      </c>
      <c r="H81" s="59"/>
      <c r="I81" s="59"/>
      <c r="J81" s="59"/>
      <c r="K81" s="59"/>
      <c r="L81" s="59"/>
      <c r="M81" s="56"/>
      <c r="N81" s="57" t="str">
        <f t="shared" si="2"/>
        <v/>
      </c>
      <c r="O81" s="60">
        <f>IF(N81="",0,N81+O80)</f>
        <v>0</v>
      </c>
    </row>
    <row r="82" spans="1:15" x14ac:dyDescent="0.25">
      <c r="A82" s="97">
        <v>21</v>
      </c>
      <c r="B82" s="107"/>
      <c r="C82" s="106"/>
      <c r="D82" s="46">
        <v>1</v>
      </c>
      <c r="E82" s="50"/>
      <c r="F82" s="45" t="str">
        <f>IF($E82="","",IF(ISNA(VLOOKUP($E82,DD!$A$2:$C$150,2,0)),"NO SUCH DIVE",VLOOKUP($E82,DD!$A$2:$C$150,2,0)))</f>
        <v/>
      </c>
      <c r="G82" s="51" t="str">
        <f>IF($E82="","",IF(ISNA(VLOOKUP($E82,DD!$A$2:$C$150,3,0)),"",VLOOKUP($E82,DD!$A$2:$C$150,3,0)))</f>
        <v/>
      </c>
      <c r="H82" s="52"/>
      <c r="I82" s="52"/>
      <c r="J82" s="52"/>
      <c r="K82" s="52"/>
      <c r="L82" s="52"/>
      <c r="M82" s="50"/>
      <c r="N82" s="45" t="str">
        <f t="shared" si="2"/>
        <v/>
      </c>
      <c r="O82" s="45" t="str">
        <f>IF(N82="","",N82)</f>
        <v/>
      </c>
    </row>
    <row r="83" spans="1:15" x14ac:dyDescent="0.25">
      <c r="A83" s="97"/>
      <c r="B83" s="107"/>
      <c r="C83" s="106"/>
      <c r="D83" s="46">
        <v>2</v>
      </c>
      <c r="E83" s="62"/>
      <c r="F83" s="45" t="str">
        <f>IF($E83="","",IF(ISNA(VLOOKUP($E83,DD!$A$2:$C$150,2,0)),"NO SUCH DIVE",VLOOKUP($E83,DD!$A$2:$C$150,2,0)))</f>
        <v/>
      </c>
      <c r="G83" s="51" t="str">
        <f>IF($E83="","",IF(ISNA(VLOOKUP($E83,DD!$A$2:$C$150,3,0)),"",VLOOKUP($E83,DD!$A$2:$C$150,3,0)))</f>
        <v/>
      </c>
      <c r="H83" s="52"/>
      <c r="I83" s="52"/>
      <c r="J83" s="52"/>
      <c r="K83" s="52"/>
      <c r="L83" s="52"/>
      <c r="M83" s="50"/>
      <c r="N83" s="45" t="str">
        <f t="shared" si="2"/>
        <v/>
      </c>
      <c r="O83" s="45" t="str">
        <f>IF(N83="","",N83+O82)</f>
        <v/>
      </c>
    </row>
    <row r="84" spans="1:15" x14ac:dyDescent="0.25">
      <c r="A84" s="97"/>
      <c r="B84" s="107"/>
      <c r="C84" s="106"/>
      <c r="D84" s="46">
        <v>3</v>
      </c>
      <c r="E84" s="62"/>
      <c r="F84" s="45" t="str">
        <f>IF($E84="","",IF(ISNA(VLOOKUP($E84,DD!$A$2:$C$150,2,0)),"NO SUCH DIVE",VLOOKUP($E84,DD!$A$2:$C$150,2,0)))</f>
        <v/>
      </c>
      <c r="G84" s="46" t="str">
        <f>IF($E84="","",IF(ISNA(VLOOKUP($E84,DD!$A$2:$C$150,3,0)),"",VLOOKUP($E84,DD!$A$2:$C$150,3,0)))</f>
        <v/>
      </c>
      <c r="H84" s="52"/>
      <c r="I84" s="52"/>
      <c r="J84" s="52"/>
      <c r="K84" s="52"/>
      <c r="L84" s="52"/>
      <c r="M84" s="50"/>
      <c r="N84" s="45" t="str">
        <f t="shared" si="2"/>
        <v/>
      </c>
      <c r="O84" s="45" t="str">
        <f>IF(N84="","",N84+O83)</f>
        <v/>
      </c>
    </row>
    <row r="85" spans="1:15" x14ac:dyDescent="0.25">
      <c r="A85" s="97"/>
      <c r="B85" s="107"/>
      <c r="C85" s="106"/>
      <c r="D85" s="46">
        <v>4</v>
      </c>
      <c r="E85" s="62"/>
      <c r="F85" s="45" t="str">
        <f>IF($E85="","",IF(ISNA(VLOOKUP($E85,DD!$A$2:$C$150,2,0)),"NO SUCH DIVE",VLOOKUP($E85,DD!$A$2:$C$150,2,0)))</f>
        <v/>
      </c>
      <c r="G85" s="46" t="str">
        <f>IF($E85="","",IF(ISNA(VLOOKUP($E85,DD!$A$2:$C$150,3,0)),"",VLOOKUP($E85,DD!$A$2:$C$150,3,0)))</f>
        <v/>
      </c>
      <c r="H85" s="52"/>
      <c r="I85" s="52"/>
      <c r="J85" s="52"/>
      <c r="K85" s="52"/>
      <c r="L85" s="52"/>
      <c r="M85" s="50"/>
      <c r="N85" s="45" t="str">
        <f t="shared" si="2"/>
        <v/>
      </c>
      <c r="O85" s="54">
        <f>IF(N85="",0,N85+O84)</f>
        <v>0</v>
      </c>
    </row>
    <row r="86" spans="1:15" x14ac:dyDescent="0.25">
      <c r="A86" s="100">
        <v>22</v>
      </c>
      <c r="B86" s="101"/>
      <c r="C86" s="102"/>
      <c r="D86" s="55">
        <v>1</v>
      </c>
      <c r="E86" s="56"/>
      <c r="F86" s="57" t="str">
        <f>IF($E86="","",IF(ISNA(VLOOKUP($E86,DD!$A$2:$C$150,2,0)),"NO SUCH DIVE",VLOOKUP($E86,DD!$A$2:$C$150,2,0)))</f>
        <v/>
      </c>
      <c r="G86" s="58" t="str">
        <f>IF($E86="","",IF(ISNA(VLOOKUP($E86,DD!$A$2:$C$150,3,0)),"",VLOOKUP($E86,DD!$A$2:$C$150,3,0)))</f>
        <v/>
      </c>
      <c r="H86" s="59"/>
      <c r="I86" s="59"/>
      <c r="J86" s="59"/>
      <c r="K86" s="59"/>
      <c r="L86" s="59"/>
      <c r="M86" s="56"/>
      <c r="N86" s="57" t="str">
        <f t="shared" si="2"/>
        <v/>
      </c>
      <c r="O86" s="57" t="str">
        <f>IF(N86="","",N86)</f>
        <v/>
      </c>
    </row>
    <row r="87" spans="1:15" x14ac:dyDescent="0.25">
      <c r="A87" s="100"/>
      <c r="B87" s="101"/>
      <c r="C87" s="102"/>
      <c r="D87" s="55">
        <v>2</v>
      </c>
      <c r="E87" s="56"/>
      <c r="F87" s="57" t="str">
        <f>IF($E87="","",IF(ISNA(VLOOKUP($E87,DD!$A$2:$C$150,2,0)),"NO SUCH DIVE",VLOOKUP($E87,DD!$A$2:$C$150,2,0)))</f>
        <v/>
      </c>
      <c r="G87" s="58" t="str">
        <f>IF($E87="","",IF(ISNA(VLOOKUP($E87,DD!$A$2:$C$150,3,0)),"",VLOOKUP($E87,DD!$A$2:$C$150,3,0)))</f>
        <v/>
      </c>
      <c r="H87" s="59"/>
      <c r="I87" s="59"/>
      <c r="J87" s="59"/>
      <c r="K87" s="59"/>
      <c r="L87" s="59"/>
      <c r="M87" s="56"/>
      <c r="N87" s="57" t="str">
        <f t="shared" si="2"/>
        <v/>
      </c>
      <c r="O87" s="57" t="str">
        <f>IF(N87="","",N87+O86)</f>
        <v/>
      </c>
    </row>
    <row r="88" spans="1:15" x14ac:dyDescent="0.25">
      <c r="A88" s="100"/>
      <c r="B88" s="101"/>
      <c r="C88" s="102"/>
      <c r="D88" s="55">
        <v>3</v>
      </c>
      <c r="E88" s="56"/>
      <c r="F88" s="57" t="str">
        <f>IF($E88="","",IF(ISNA(VLOOKUP($E88,DD!$A$2:$C$150,2,0)),"NO SUCH DIVE",VLOOKUP($E88,DD!$A$2:$C$150,2,0)))</f>
        <v/>
      </c>
      <c r="G88" s="55" t="str">
        <f>IF($E88="","",IF(ISNA(VLOOKUP($E88,DD!$A$2:$C$150,3,0)),"",VLOOKUP($E88,DD!$A$2:$C$150,3,0)))</f>
        <v/>
      </c>
      <c r="H88" s="59"/>
      <c r="I88" s="59"/>
      <c r="J88" s="59"/>
      <c r="K88" s="59"/>
      <c r="L88" s="59"/>
      <c r="M88" s="56"/>
      <c r="N88" s="57" t="str">
        <f t="shared" si="2"/>
        <v/>
      </c>
      <c r="O88" s="57" t="str">
        <f>IF(N88="","",N88+O87)</f>
        <v/>
      </c>
    </row>
    <row r="89" spans="1:15" x14ac:dyDescent="0.25">
      <c r="A89" s="100"/>
      <c r="B89" s="101"/>
      <c r="C89" s="102"/>
      <c r="D89" s="55">
        <v>4</v>
      </c>
      <c r="E89" s="56"/>
      <c r="F89" s="57" t="str">
        <f>IF($E89="","",IF(ISNA(VLOOKUP($E89,DD!$A$2:$C$150,2,0)),"NO SUCH DIVE",VLOOKUP($E89,DD!$A$2:$C$150,2,0)))</f>
        <v/>
      </c>
      <c r="G89" s="55" t="str">
        <f>IF($E89="","",IF(ISNA(VLOOKUP($E89,DD!$A$2:$C$150,3,0)),"",VLOOKUP($E89,DD!$A$2:$C$150,3,0)))</f>
        <v/>
      </c>
      <c r="H89" s="59"/>
      <c r="I89" s="59"/>
      <c r="J89" s="59"/>
      <c r="K89" s="59"/>
      <c r="L89" s="59"/>
      <c r="M89" s="56"/>
      <c r="N89" s="57" t="str">
        <f t="shared" si="2"/>
        <v/>
      </c>
      <c r="O89" s="60">
        <f>IF(N89="",0,N89+O88)</f>
        <v>0</v>
      </c>
    </row>
    <row r="90" spans="1:15" x14ac:dyDescent="0.25">
      <c r="A90" s="97">
        <v>23</v>
      </c>
      <c r="B90" s="107"/>
      <c r="C90" s="106"/>
      <c r="D90" s="46">
        <v>1</v>
      </c>
      <c r="E90" s="50"/>
      <c r="F90" s="45" t="str">
        <f>IF($E90="","",IF(ISNA(VLOOKUP($E90,DD!$A$2:$C$150,2,0)),"NO SUCH DIVE",VLOOKUP($E90,DD!$A$2:$C$150,2,0)))</f>
        <v/>
      </c>
      <c r="G90" s="51" t="str">
        <f>IF($E90="","",IF(ISNA(VLOOKUP($E90,DD!$A$2:$C$150,3,0)),"",VLOOKUP($E90,DD!$A$2:$C$150,3,0)))</f>
        <v/>
      </c>
      <c r="H90" s="52"/>
      <c r="I90" s="52"/>
      <c r="J90" s="52"/>
      <c r="K90" s="52"/>
      <c r="L90" s="52"/>
      <c r="M90" s="50"/>
      <c r="N90" s="45" t="str">
        <f t="shared" si="2"/>
        <v/>
      </c>
      <c r="O90" s="45" t="str">
        <f>IF(N90="","",N90)</f>
        <v/>
      </c>
    </row>
    <row r="91" spans="1:15" x14ac:dyDescent="0.25">
      <c r="A91" s="97"/>
      <c r="B91" s="107"/>
      <c r="C91" s="106"/>
      <c r="D91" s="46">
        <v>2</v>
      </c>
      <c r="E91" s="62"/>
      <c r="F91" s="45" t="str">
        <f>IF($E91="","",IF(ISNA(VLOOKUP($E91,DD!$A$2:$C$150,2,0)),"NO SUCH DIVE",VLOOKUP($E91,DD!$A$2:$C$150,2,0)))</f>
        <v/>
      </c>
      <c r="G91" s="51" t="str">
        <f>IF($E91="","",IF(ISNA(VLOOKUP($E91,DD!$A$2:$C$150,3,0)),"",VLOOKUP($E91,DD!$A$2:$C$150,3,0)))</f>
        <v/>
      </c>
      <c r="H91" s="52"/>
      <c r="I91" s="52"/>
      <c r="J91" s="52"/>
      <c r="K91" s="52"/>
      <c r="L91" s="52"/>
      <c r="M91" s="50"/>
      <c r="N91" s="45" t="str">
        <f t="shared" si="2"/>
        <v/>
      </c>
      <c r="O91" s="45" t="str">
        <f>IF(N91="","",N91+O90)</f>
        <v/>
      </c>
    </row>
    <row r="92" spans="1:15" x14ac:dyDescent="0.25">
      <c r="A92" s="97"/>
      <c r="B92" s="107"/>
      <c r="C92" s="106"/>
      <c r="D92" s="46">
        <v>3</v>
      </c>
      <c r="E92" s="62"/>
      <c r="F92" s="45" t="str">
        <f>IF($E92="","",IF(ISNA(VLOOKUP($E92,DD!$A$2:$C$150,2,0)),"NO SUCH DIVE",VLOOKUP($E92,DD!$A$2:$C$150,2,0)))</f>
        <v/>
      </c>
      <c r="G92" s="46" t="str">
        <f>IF($E92="","",IF(ISNA(VLOOKUP($E92,DD!$A$2:$C$150,3,0)),"",VLOOKUP($E92,DD!$A$2:$C$150,3,0)))</f>
        <v/>
      </c>
      <c r="H92" s="52"/>
      <c r="I92" s="52"/>
      <c r="J92" s="52"/>
      <c r="K92" s="52"/>
      <c r="L92" s="52"/>
      <c r="M92" s="50"/>
      <c r="N92" s="45" t="str">
        <f t="shared" si="2"/>
        <v/>
      </c>
      <c r="O92" s="45" t="str">
        <f>IF(N92="","",N92+O91)</f>
        <v/>
      </c>
    </row>
    <row r="93" spans="1:15" x14ac:dyDescent="0.25">
      <c r="A93" s="97"/>
      <c r="B93" s="107"/>
      <c r="C93" s="106"/>
      <c r="D93" s="46">
        <v>4</v>
      </c>
      <c r="E93" s="62"/>
      <c r="F93" s="45" t="str">
        <f>IF($E93="","",IF(ISNA(VLOOKUP($E93,DD!$A$2:$C$150,2,0)),"NO SUCH DIVE",VLOOKUP($E93,DD!$A$2:$C$150,2,0)))</f>
        <v/>
      </c>
      <c r="G93" s="46" t="str">
        <f>IF($E93="","",IF(ISNA(VLOOKUP($E93,DD!$A$2:$C$150,3,0)),"",VLOOKUP($E93,DD!$A$2:$C$150,3,0)))</f>
        <v/>
      </c>
      <c r="H93" s="52"/>
      <c r="I93" s="52"/>
      <c r="J93" s="52"/>
      <c r="K93" s="52"/>
      <c r="L93" s="52"/>
      <c r="M93" s="50"/>
      <c r="N93" s="45" t="str">
        <f t="shared" si="2"/>
        <v/>
      </c>
      <c r="O93" s="54">
        <f>IF(N93="",0,N93+O92)</f>
        <v>0</v>
      </c>
    </row>
    <row r="94" spans="1:15" x14ac:dyDescent="0.25">
      <c r="A94" s="100">
        <v>24</v>
      </c>
      <c r="B94" s="101"/>
      <c r="C94" s="102"/>
      <c r="D94" s="55">
        <v>1</v>
      </c>
      <c r="E94" s="56"/>
      <c r="F94" s="57" t="str">
        <f>IF($E94="","",IF(ISNA(VLOOKUP($E94,DD!$A$2:$C$150,2,0)),"NO SUCH DIVE",VLOOKUP($E94,DD!$A$2:$C$150,2,0)))</f>
        <v/>
      </c>
      <c r="G94" s="58" t="str">
        <f>IF($E94="","",IF(ISNA(VLOOKUP($E94,DD!$A$2:$C$150,3,0)),"",VLOOKUP($E94,DD!$A$2:$C$150,3,0)))</f>
        <v/>
      </c>
      <c r="H94" s="59"/>
      <c r="I94" s="59"/>
      <c r="J94" s="59"/>
      <c r="K94" s="59"/>
      <c r="L94" s="59"/>
      <c r="M94" s="56"/>
      <c r="N94" s="57" t="str">
        <f t="shared" si="2"/>
        <v/>
      </c>
      <c r="O94" s="57" t="str">
        <f>IF(N94="","",N94)</f>
        <v/>
      </c>
    </row>
    <row r="95" spans="1:15" x14ac:dyDescent="0.25">
      <c r="A95" s="100"/>
      <c r="B95" s="101"/>
      <c r="C95" s="102"/>
      <c r="D95" s="55">
        <v>2</v>
      </c>
      <c r="E95" s="56"/>
      <c r="F95" s="57" t="str">
        <f>IF($E95="","",IF(ISNA(VLOOKUP($E95,DD!$A$2:$C$150,2,0)),"NO SUCH DIVE",VLOOKUP($E95,DD!$A$2:$C$150,2,0)))</f>
        <v/>
      </c>
      <c r="G95" s="58" t="str">
        <f>IF($E95="","",IF(ISNA(VLOOKUP($E95,DD!$A$2:$C$150,3,0)),"",VLOOKUP($E95,DD!$A$2:$C$150,3,0)))</f>
        <v/>
      </c>
      <c r="H95" s="59"/>
      <c r="I95" s="59"/>
      <c r="J95" s="59"/>
      <c r="K95" s="59"/>
      <c r="L95" s="59"/>
      <c r="M95" s="56"/>
      <c r="N95" s="57" t="str">
        <f t="shared" si="2"/>
        <v/>
      </c>
      <c r="O95" s="57" t="str">
        <f>IF(N95="","",N95+O94)</f>
        <v/>
      </c>
    </row>
    <row r="96" spans="1:15" x14ac:dyDescent="0.25">
      <c r="A96" s="100"/>
      <c r="B96" s="101"/>
      <c r="C96" s="102"/>
      <c r="D96" s="55">
        <v>3</v>
      </c>
      <c r="E96" s="56"/>
      <c r="F96" s="57" t="str">
        <f>IF($E96="","",IF(ISNA(VLOOKUP($E96,DD!$A$2:$C$150,2,0)),"NO SUCH DIVE",VLOOKUP($E96,DD!$A$2:$C$150,2,0)))</f>
        <v/>
      </c>
      <c r="G96" s="55" t="str">
        <f>IF($E96="","",IF(ISNA(VLOOKUP($E96,DD!$A$2:$C$150,3,0)),"",VLOOKUP($E96,DD!$A$2:$C$150,3,0)))</f>
        <v/>
      </c>
      <c r="H96" s="59"/>
      <c r="I96" s="59"/>
      <c r="J96" s="59"/>
      <c r="K96" s="59"/>
      <c r="L96" s="59"/>
      <c r="M96" s="56"/>
      <c r="N96" s="57" t="str">
        <f t="shared" si="2"/>
        <v/>
      </c>
      <c r="O96" s="57" t="str">
        <f>IF(N96="","",N96+O95)</f>
        <v/>
      </c>
    </row>
    <row r="97" spans="1:20" x14ac:dyDescent="0.25">
      <c r="A97" s="100"/>
      <c r="B97" s="101"/>
      <c r="C97" s="102"/>
      <c r="D97" s="55">
        <v>4</v>
      </c>
      <c r="E97" s="56"/>
      <c r="F97" s="57" t="str">
        <f>IF($E97="","",IF(ISNA(VLOOKUP($E97,DD!$A$2:$C$150,2,0)),"NO SUCH DIVE",VLOOKUP($E97,DD!$A$2:$C$150,2,0)))</f>
        <v/>
      </c>
      <c r="G97" s="55" t="str">
        <f>IF($E97="","",IF(ISNA(VLOOKUP($E97,DD!$A$2:$C$150,3,0)),"",VLOOKUP($E97,DD!$A$2:$C$150,3,0)))</f>
        <v/>
      </c>
      <c r="H97" s="59"/>
      <c r="I97" s="59"/>
      <c r="J97" s="59"/>
      <c r="K97" s="59"/>
      <c r="L97" s="59"/>
      <c r="M97" s="56"/>
      <c r="N97" s="57" t="str">
        <f t="shared" si="2"/>
        <v/>
      </c>
      <c r="O97" s="60">
        <f>IF(N97="",0,N97+O96)</f>
        <v>0</v>
      </c>
    </row>
    <row r="99" spans="1:20" ht="32.450000000000003" customHeight="1" x14ac:dyDescent="0.25">
      <c r="C99" s="63" t="s">
        <v>78</v>
      </c>
      <c r="D99" s="64" t="s">
        <v>79</v>
      </c>
      <c r="E99" s="65" t="s">
        <v>80</v>
      </c>
      <c r="F99" s="65" t="s">
        <v>27</v>
      </c>
      <c r="G99" s="65" t="s">
        <v>33</v>
      </c>
      <c r="H99" s="65" t="s">
        <v>81</v>
      </c>
      <c r="I99" s="66" t="s">
        <v>30</v>
      </c>
      <c r="R99" s="45" t="str">
        <f>INFO!$B$4</f>
        <v>Side</v>
      </c>
      <c r="S99" s="45" t="str">
        <f>INFO!$B$5</f>
        <v>ALPS</v>
      </c>
    </row>
    <row r="100" spans="1:20" x14ac:dyDescent="0.25">
      <c r="C100" s="67">
        <f>IF(E100&lt;1,0,1)</f>
        <v>1</v>
      </c>
      <c r="D100" s="68">
        <f>IF(OR(C100&lt;1,H100&lt;&gt;"",COUNTIF(T$100:T100,T100)&gt;3),"",VLOOKUP(C100-COUNTA(H$100:H100),DD!$E$24:$F$49,2))</f>
        <v>16</v>
      </c>
      <c r="E100" s="69">
        <f>IF(LARGE($R$2:$R$25,1)&lt;1,0,LARGE($R$2:$R$25,1))</f>
        <v>134.05000200000001</v>
      </c>
      <c r="F100" s="70" t="str">
        <f t="shared" ref="F100:F123" si="3">VLOOKUP(E100,$R$2:$T$26,2,0)</f>
        <v>Zoe Morinville</v>
      </c>
      <c r="G100" s="68" t="str">
        <f t="shared" ref="G100:G123" si="4">VLOOKUP(E100,$R$2:$T$26,3,0)</f>
        <v>Cedar</v>
      </c>
      <c r="H100" s="71"/>
      <c r="I100" s="72" t="str">
        <f t="shared" ref="I100:I122" si="5">IF(AND(OR(C100=C99,C100=C101),C100&lt;&gt;0),"TIE","")</f>
        <v/>
      </c>
      <c r="R100" s="45">
        <f t="shared" ref="R100:R123" si="6">IF(G100=$R$99,D100,0)</f>
        <v>0</v>
      </c>
      <c r="S100" s="45">
        <f t="shared" ref="S100:S123" si="7">IF(G100=$S$99,D100,0)</f>
        <v>0</v>
      </c>
      <c r="T100" s="73" t="str">
        <f t="shared" ref="T100:T123" si="8">G100&amp;H100</f>
        <v>Cedar</v>
      </c>
    </row>
    <row r="101" spans="1:20" x14ac:dyDescent="0.25">
      <c r="C101" s="67">
        <f>IF(E101&lt;1,0,IF(INT(E101*100)=INT(E100*100),C100,2))</f>
        <v>2</v>
      </c>
      <c r="D101" s="68">
        <f>IF(OR(C101&lt;1,H101&lt;&gt;"",COUNTIF(T$100:T101,T101)&gt;3),"",VLOOKUP(C101-COUNTA(H$100:H101),DD!$E$24:$F$49,2))</f>
        <v>14</v>
      </c>
      <c r="E101" s="69">
        <f>IF(LARGE($R$2:$R$25,2)&lt;1,0,LARGE($R$2:$R$25,2))</f>
        <v>114.850009</v>
      </c>
      <c r="F101" s="70" t="str">
        <f t="shared" si="3"/>
        <v>Katya Stogornyuk</v>
      </c>
      <c r="G101" s="68" t="str">
        <f t="shared" si="4"/>
        <v>Cedar</v>
      </c>
      <c r="H101" s="71"/>
      <c r="I101" s="72" t="str">
        <f t="shared" si="5"/>
        <v/>
      </c>
      <c r="R101" s="45">
        <f t="shared" si="6"/>
        <v>0</v>
      </c>
      <c r="S101" s="45">
        <f t="shared" si="7"/>
        <v>0</v>
      </c>
      <c r="T101" s="73" t="str">
        <f t="shared" si="8"/>
        <v>Cedar</v>
      </c>
    </row>
    <row r="102" spans="1:20" x14ac:dyDescent="0.25">
      <c r="C102" s="67">
        <f>IF(E102&lt;1,0,IF(INT(E102*100)=INT(E101*100),C101,3))</f>
        <v>3</v>
      </c>
      <c r="D102" s="68">
        <f>IF(OR(C102&lt;1,H102&lt;&gt;"",COUNTIF(T$100:T102,T102)&gt;3),"",VLOOKUP(C102-COUNTA(H$100:H102),DD!$E$24:$F$49,2))</f>
        <v>12</v>
      </c>
      <c r="E102" s="69">
        <f>IF(LARGE($R$2:$R$25,3)&lt;1,0,LARGE($R$2:$R$25,3))</f>
        <v>99.700010999999989</v>
      </c>
      <c r="F102" s="70" t="str">
        <f t="shared" si="3"/>
        <v>Zoe Nelson</v>
      </c>
      <c r="G102" s="68" t="str">
        <f t="shared" si="4"/>
        <v>HCP</v>
      </c>
      <c r="H102" s="71"/>
      <c r="I102" s="72" t="str">
        <f t="shared" si="5"/>
        <v/>
      </c>
      <c r="R102" s="45">
        <f t="shared" si="6"/>
        <v>0</v>
      </c>
      <c r="S102" s="45">
        <f t="shared" si="7"/>
        <v>0</v>
      </c>
      <c r="T102" s="73" t="str">
        <f t="shared" si="8"/>
        <v>HCP</v>
      </c>
    </row>
    <row r="103" spans="1:20" x14ac:dyDescent="0.25">
      <c r="C103" s="67">
        <f>IF(E103&lt;1,0,IF(INT(E103*100)=INT(E102*100),C102,4))</f>
        <v>4</v>
      </c>
      <c r="D103" s="68">
        <f>IF(OR(C103&lt;1,H103&lt;&gt;"",COUNTIF(T$100:T103,T103)&gt;3),"",VLOOKUP(C103-COUNTA(H$100:H103),DD!$E$24:$F$49,2))</f>
        <v>11</v>
      </c>
      <c r="E103" s="69">
        <f>IF(LARGE($R$2:$R$25,4)&lt;1,0,LARGE($R$2:$R$25,4))</f>
        <v>94.750005000000002</v>
      </c>
      <c r="F103" s="70" t="str">
        <f t="shared" si="3"/>
        <v>Cassandra Johnson</v>
      </c>
      <c r="G103" s="68" t="str">
        <f t="shared" si="4"/>
        <v>HCP</v>
      </c>
      <c r="H103" s="71"/>
      <c r="I103" s="72" t="str">
        <f t="shared" si="5"/>
        <v/>
      </c>
      <c r="R103" s="45">
        <f t="shared" si="6"/>
        <v>0</v>
      </c>
      <c r="S103" s="45">
        <f t="shared" si="7"/>
        <v>0</v>
      </c>
      <c r="T103" s="73" t="str">
        <f t="shared" si="8"/>
        <v>HCP</v>
      </c>
    </row>
    <row r="104" spans="1:20" x14ac:dyDescent="0.25">
      <c r="C104" s="67">
        <f>IF(E104&lt;1,0,IF(INT(E104*100)=INT(E103*100),C103,5))</f>
        <v>5</v>
      </c>
      <c r="D104" s="68">
        <f>IF(OR(C104&lt;1,H104&lt;&gt;"",COUNTIF(T$100:T104,T104)&gt;3),"",VLOOKUP(C104-COUNTA(H$100:H104),DD!$E$24:$F$49,2))</f>
        <v>10</v>
      </c>
      <c r="E104" s="69">
        <f>IF(LARGE($R$2:$R$25,5)&lt;1,0,LARGE($R$2:$R$25,5))</f>
        <v>94.050003000000004</v>
      </c>
      <c r="F104" s="70" t="str">
        <f t="shared" si="3"/>
        <v>Holly Cameron</v>
      </c>
      <c r="G104" s="68" t="str">
        <f t="shared" si="4"/>
        <v>Vik</v>
      </c>
      <c r="H104" s="71"/>
      <c r="I104" s="72" t="str">
        <f t="shared" si="5"/>
        <v/>
      </c>
      <c r="R104" s="45">
        <f t="shared" si="6"/>
        <v>0</v>
      </c>
      <c r="S104" s="45">
        <f t="shared" si="7"/>
        <v>0</v>
      </c>
      <c r="T104" s="73" t="str">
        <f t="shared" si="8"/>
        <v>Vik</v>
      </c>
    </row>
    <row r="105" spans="1:20" x14ac:dyDescent="0.25">
      <c r="C105" s="67">
        <f>IF(E105&lt;1,0,IF(INT(E105*100)=INT(E104*100),C104,6))</f>
        <v>6</v>
      </c>
      <c r="D105" s="68">
        <f>IF(OR(C105&lt;1,H105&lt;&gt;"",COUNTIF(T$100:T105,T105)&gt;3),"",VLOOKUP(C105-COUNTA(H$100:H105),DD!$E$24:$F$49,2))</f>
        <v>9</v>
      </c>
      <c r="E105" s="69">
        <f>IF(LARGE($R$2:$R$25,6)&lt;1,0,LARGE($R$2:$R$25,6))</f>
        <v>87.350011999999992</v>
      </c>
      <c r="F105" s="70" t="str">
        <f t="shared" si="3"/>
        <v>Shibon Morgan-Tracey</v>
      </c>
      <c r="G105" s="68" t="str">
        <f t="shared" si="4"/>
        <v>PVPC</v>
      </c>
      <c r="H105" s="71"/>
      <c r="I105" s="72" t="str">
        <f t="shared" si="5"/>
        <v/>
      </c>
      <c r="R105" s="45">
        <f t="shared" si="6"/>
        <v>0</v>
      </c>
      <c r="S105" s="45">
        <f t="shared" si="7"/>
        <v>0</v>
      </c>
      <c r="T105" s="73" t="str">
        <f t="shared" si="8"/>
        <v>PVPC</v>
      </c>
    </row>
    <row r="106" spans="1:20" x14ac:dyDescent="0.25">
      <c r="C106" s="67">
        <f>IF(E106&lt;1,0,IF(INT(E106*100)=INT(E105*100),C105,7))</f>
        <v>7</v>
      </c>
      <c r="D106" s="68">
        <f>IF(OR(C106&lt;1,H106&lt;&gt;"",COUNTIF(T$100:T106,T106)&gt;3),"",VLOOKUP(C106-COUNTA(H$100:H106),DD!$E$24:$F$49,2))</f>
        <v>7</v>
      </c>
      <c r="E106" s="69">
        <f>IF(LARGE($R$2:$R$25,7)&lt;1,0,LARGE($R$2:$R$25,7))</f>
        <v>85.750013999999993</v>
      </c>
      <c r="F106" s="70" t="str">
        <f t="shared" si="3"/>
        <v>Sara Hitchen</v>
      </c>
      <c r="G106" s="68" t="str">
        <f t="shared" si="4"/>
        <v>HCP</v>
      </c>
      <c r="H106" s="71"/>
      <c r="I106" s="72" t="str">
        <f t="shared" si="5"/>
        <v/>
      </c>
      <c r="R106" s="45">
        <f t="shared" si="6"/>
        <v>0</v>
      </c>
      <c r="S106" s="45">
        <f t="shared" si="7"/>
        <v>0</v>
      </c>
      <c r="T106" s="73" t="str">
        <f t="shared" si="8"/>
        <v>HCP</v>
      </c>
    </row>
    <row r="107" spans="1:20" x14ac:dyDescent="0.25">
      <c r="C107" s="67">
        <f>IF(E107&lt;1,0,IF(INT(E107*100)=INT(E106*100),C106,8))</f>
        <v>8</v>
      </c>
      <c r="D107" s="68">
        <f>IF(OR(C107&lt;1,H107&lt;&gt;"",COUNTIF(T$100:T107,T107)&gt;3),"",VLOOKUP(C107-COUNTA(H$100:H107),DD!$E$24:$F$49,2))</f>
        <v>5</v>
      </c>
      <c r="E107" s="69">
        <f>IF(LARGE($R$2:$R$25,8)&lt;1,0,LARGE($R$2:$R$25,8))</f>
        <v>84.100003999999998</v>
      </c>
      <c r="F107" s="70" t="str">
        <f t="shared" si="3"/>
        <v>Lea Beluse</v>
      </c>
      <c r="G107" s="68" t="str">
        <f t="shared" si="4"/>
        <v>WLRC</v>
      </c>
      <c r="H107" s="71"/>
      <c r="I107" s="72" t="str">
        <f t="shared" si="5"/>
        <v/>
      </c>
      <c r="R107" s="45">
        <f t="shared" si="6"/>
        <v>0</v>
      </c>
      <c r="S107" s="45">
        <f t="shared" si="7"/>
        <v>0</v>
      </c>
      <c r="T107" s="73" t="str">
        <f t="shared" si="8"/>
        <v>WLRC</v>
      </c>
    </row>
    <row r="108" spans="1:20" x14ac:dyDescent="0.25">
      <c r="C108" s="67">
        <f>IF(E108&lt;1,0,IF(INT(E108*100)=INT(E107*100),C107,9))</f>
        <v>9</v>
      </c>
      <c r="D108" s="68">
        <f>IF(OR(C108&lt;1,H108&lt;&gt;"",COUNTIF(T$100:T108,T108)&gt;3),"",VLOOKUP(C108-COUNTA(H$100:H108),DD!$E$24:$F$49,2))</f>
        <v>4</v>
      </c>
      <c r="E108" s="69">
        <f>IF(LARGE($R$2:$R$25,9)&lt;1,0,LARGE($R$2:$R$25,9))</f>
        <v>81.150007000000002</v>
      </c>
      <c r="F108" s="70" t="str">
        <f t="shared" si="3"/>
        <v>Kelly Patrouille</v>
      </c>
      <c r="G108" s="68" t="str">
        <f t="shared" si="4"/>
        <v>PVPC</v>
      </c>
      <c r="H108" s="71"/>
      <c r="I108" s="72" t="str">
        <f t="shared" si="5"/>
        <v/>
      </c>
      <c r="R108" s="45">
        <f t="shared" si="6"/>
        <v>0</v>
      </c>
      <c r="S108" s="45">
        <f t="shared" si="7"/>
        <v>0</v>
      </c>
      <c r="T108" s="73" t="str">
        <f t="shared" si="8"/>
        <v>PVPC</v>
      </c>
    </row>
    <row r="109" spans="1:20" x14ac:dyDescent="0.25">
      <c r="C109" s="67">
        <f>IF(E109&lt;1,0,IF(INT(E109*100)=INT(E108*100),C108,10))</f>
        <v>10</v>
      </c>
      <c r="D109" s="68">
        <f>IF(OR(C109&lt;1,H109&lt;&gt;"",COUNTIF(T$100:T109,T109)&gt;3),"",VLOOKUP(C109-COUNTA(H$100:H109),DD!$E$24:$F$49,2))</f>
        <v>3</v>
      </c>
      <c r="E109" s="69">
        <f>IF(LARGE($R$2:$R$25,10)&lt;1,0,LARGE($R$2:$R$25,10))</f>
        <v>70.100000999999992</v>
      </c>
      <c r="F109" s="70" t="str">
        <f t="shared" si="3"/>
        <v>Olivia Wood</v>
      </c>
      <c r="G109" s="68" t="str">
        <f t="shared" si="4"/>
        <v>MWAC</v>
      </c>
      <c r="H109" s="71"/>
      <c r="I109" s="72" t="str">
        <f t="shared" si="5"/>
        <v/>
      </c>
      <c r="R109" s="45">
        <f t="shared" si="6"/>
        <v>0</v>
      </c>
      <c r="S109" s="45">
        <f t="shared" si="7"/>
        <v>0</v>
      </c>
      <c r="T109" s="73" t="str">
        <f t="shared" si="8"/>
        <v>MWAC</v>
      </c>
    </row>
    <row r="110" spans="1:20" x14ac:dyDescent="0.25">
      <c r="C110" s="67">
        <f>IF(E110&lt;1,0,IF(INT(E110*100)=INT(E109*100),C109,11))</f>
        <v>0</v>
      </c>
      <c r="D110" s="68" t="str">
        <f>IF(OR(C110&lt;1,H110&lt;&gt;"",COUNTIF(T$100:T110,T110)&gt;3),"",VLOOKUP(C110-COUNTA(H$100:H110),DD!$E$24:$F$49,2))</f>
        <v/>
      </c>
      <c r="E110" s="69">
        <f>IF(LARGE($R$2:$R$25,11)&lt;1,0,LARGE($R$2:$R$25,11))</f>
        <v>0</v>
      </c>
      <c r="F110" s="70">
        <f t="shared" si="3"/>
        <v>0</v>
      </c>
      <c r="G110" s="68">
        <f t="shared" si="4"/>
        <v>0</v>
      </c>
      <c r="H110" s="71"/>
      <c r="I110" s="72" t="str">
        <f t="shared" si="5"/>
        <v/>
      </c>
      <c r="R110" s="45">
        <f t="shared" si="6"/>
        <v>0</v>
      </c>
      <c r="S110" s="45">
        <f t="shared" si="7"/>
        <v>0</v>
      </c>
      <c r="T110" s="73" t="str">
        <f t="shared" si="8"/>
        <v>0</v>
      </c>
    </row>
    <row r="111" spans="1:20" x14ac:dyDescent="0.25">
      <c r="C111" s="67">
        <f>IF(E111&lt;1,0,IF(INT(E111*100)=INT(E110*100),C110,12))</f>
        <v>0</v>
      </c>
      <c r="D111" s="68" t="str">
        <f>IF(OR(C111&lt;1,H111&lt;&gt;"",COUNTIF(T$100:T111,T111)&gt;3),"",VLOOKUP(C111-COUNTA(H$100:H111),DD!$E$24:$F$49,2))</f>
        <v/>
      </c>
      <c r="E111" s="69">
        <f>IF(LARGE($R$2:$R$25,12)&lt;1,0,LARGE($R$2:$R$25,12))</f>
        <v>0</v>
      </c>
      <c r="F111" s="70">
        <f t="shared" si="3"/>
        <v>0</v>
      </c>
      <c r="G111" s="68">
        <f t="shared" si="4"/>
        <v>0</v>
      </c>
      <c r="H111" s="71"/>
      <c r="I111" s="72" t="str">
        <f t="shared" si="5"/>
        <v/>
      </c>
      <c r="R111" s="45">
        <f t="shared" si="6"/>
        <v>0</v>
      </c>
      <c r="S111" s="45">
        <f t="shared" si="7"/>
        <v>0</v>
      </c>
      <c r="T111" s="73" t="str">
        <f t="shared" si="8"/>
        <v>0</v>
      </c>
    </row>
    <row r="112" spans="1:20" x14ac:dyDescent="0.25">
      <c r="C112" s="67">
        <f>IF(E112&lt;1,0,IF(INT(E112*100)=INT(E111*100),C111,13))</f>
        <v>0</v>
      </c>
      <c r="D112" s="68" t="str">
        <f>IF(OR(C112&lt;1,H112&lt;&gt;"",COUNTIF(T$100:T112,T112)&gt;3),"",VLOOKUP(C112-COUNTA(H$100:H112),DD!$E$24:$F$49,2))</f>
        <v/>
      </c>
      <c r="E112" s="69">
        <f>IF(LARGE($R$2:$R$25,13)&lt;1,0,LARGE($R$2:$R$25,13))</f>
        <v>0</v>
      </c>
      <c r="F112" s="70">
        <f t="shared" si="3"/>
        <v>0</v>
      </c>
      <c r="G112" s="68">
        <f t="shared" si="4"/>
        <v>0</v>
      </c>
      <c r="H112" s="71"/>
      <c r="I112" s="72" t="str">
        <f t="shared" si="5"/>
        <v/>
      </c>
      <c r="R112" s="45">
        <f t="shared" si="6"/>
        <v>0</v>
      </c>
      <c r="S112" s="45">
        <f t="shared" si="7"/>
        <v>0</v>
      </c>
      <c r="T112" s="73" t="str">
        <f t="shared" si="8"/>
        <v>0</v>
      </c>
    </row>
    <row r="113" spans="3:20" x14ac:dyDescent="0.25">
      <c r="C113" s="67">
        <f>IF(E113&lt;1,0,IF(INT(E113*100)=INT(E112*100),C112,14))</f>
        <v>0</v>
      </c>
      <c r="D113" s="68" t="str">
        <f>IF(OR(C113&lt;1,H113&lt;&gt;"",COUNTIF(T$100:T113,T113)&gt;3),"",VLOOKUP(C113-COUNTA(H$100:H113),DD!$E$24:$F$49,2))</f>
        <v/>
      </c>
      <c r="E113" s="69">
        <f>IF(LARGE($R$2:$R$25,14)&lt;1,0,LARGE($R$2:$R$25,14))</f>
        <v>0</v>
      </c>
      <c r="F113" s="70">
        <f t="shared" si="3"/>
        <v>0</v>
      </c>
      <c r="G113" s="68">
        <f t="shared" si="4"/>
        <v>0</v>
      </c>
      <c r="H113" s="71"/>
      <c r="I113" s="72" t="str">
        <f t="shared" si="5"/>
        <v/>
      </c>
      <c r="R113" s="45">
        <f t="shared" si="6"/>
        <v>0</v>
      </c>
      <c r="S113" s="45">
        <f t="shared" si="7"/>
        <v>0</v>
      </c>
      <c r="T113" s="73" t="str">
        <f t="shared" si="8"/>
        <v>0</v>
      </c>
    </row>
    <row r="114" spans="3:20" x14ac:dyDescent="0.25">
      <c r="C114" s="67">
        <f>IF(E114&lt;1,0,IF(INT(E114*100)=INT(E113*100),C113,15))</f>
        <v>0</v>
      </c>
      <c r="D114" s="68" t="str">
        <f>IF(OR(C114&lt;1,H114&lt;&gt;"",COUNTIF(T$100:T114,T114)&gt;3),"",VLOOKUP(C114-COUNTA(H$100:H114),DD!$E$24:$F$49,2))</f>
        <v/>
      </c>
      <c r="E114" s="69">
        <f>IF(LARGE($R$2:$R$25,15)&lt;1,0,LARGE($R$2:$R$25,15))</f>
        <v>0</v>
      </c>
      <c r="F114" s="70">
        <f t="shared" si="3"/>
        <v>0</v>
      </c>
      <c r="G114" s="68">
        <f t="shared" si="4"/>
        <v>0</v>
      </c>
      <c r="H114" s="71"/>
      <c r="I114" s="72" t="str">
        <f t="shared" si="5"/>
        <v/>
      </c>
      <c r="R114" s="45">
        <f t="shared" si="6"/>
        <v>0</v>
      </c>
      <c r="S114" s="45">
        <f t="shared" si="7"/>
        <v>0</v>
      </c>
      <c r="T114" s="73" t="str">
        <f t="shared" si="8"/>
        <v>0</v>
      </c>
    </row>
    <row r="115" spans="3:20" x14ac:dyDescent="0.25">
      <c r="C115" s="67">
        <f>IF(E115&lt;1,0,IF(INT(E115*100)=INT(E114*100),C114,16))</f>
        <v>0</v>
      </c>
      <c r="D115" s="68" t="str">
        <f>IF(OR(C115&lt;1,H115&lt;&gt;"",COUNTIF(T$100:T115,T115)&gt;3),"",VLOOKUP(C115-COUNTA(H$100:H115),DD!$E$24:$F$49,2))</f>
        <v/>
      </c>
      <c r="E115" s="69">
        <f>IF(LARGE($R$2:$R$25,16)&lt;1,0,LARGE($R$2:$R$25,16))</f>
        <v>0</v>
      </c>
      <c r="F115" s="70">
        <f t="shared" si="3"/>
        <v>0</v>
      </c>
      <c r="G115" s="68">
        <f t="shared" si="4"/>
        <v>0</v>
      </c>
      <c r="H115" s="71"/>
      <c r="I115" s="72" t="str">
        <f t="shared" si="5"/>
        <v/>
      </c>
      <c r="R115" s="45">
        <f t="shared" si="6"/>
        <v>0</v>
      </c>
      <c r="S115" s="45">
        <f t="shared" si="7"/>
        <v>0</v>
      </c>
      <c r="T115" s="73" t="str">
        <f t="shared" si="8"/>
        <v>0</v>
      </c>
    </row>
    <row r="116" spans="3:20" x14ac:dyDescent="0.25">
      <c r="C116" s="67">
        <f>IF(E116&lt;1,0,IF(INT(E116*100)=INT(E115*100),C115,17))</f>
        <v>0</v>
      </c>
      <c r="D116" s="68" t="str">
        <f>IF(OR(C116&lt;1,H116&lt;&gt;"",COUNTIF(T$100:T116,T116)&gt;3),"",VLOOKUP(C116-COUNTA(H$100:H116),DD!$E$24:$F$49,2))</f>
        <v/>
      </c>
      <c r="E116" s="69">
        <f>IF(LARGE($R$2:$R$25,17)&lt;1,0,LARGE($R$2:$R$25,17))</f>
        <v>0</v>
      </c>
      <c r="F116" s="70">
        <f t="shared" si="3"/>
        <v>0</v>
      </c>
      <c r="G116" s="68">
        <f t="shared" si="4"/>
        <v>0</v>
      </c>
      <c r="H116" s="71"/>
      <c r="I116" s="72" t="str">
        <f t="shared" si="5"/>
        <v/>
      </c>
      <c r="R116" s="45">
        <f t="shared" si="6"/>
        <v>0</v>
      </c>
      <c r="S116" s="45">
        <f t="shared" si="7"/>
        <v>0</v>
      </c>
      <c r="T116" s="73" t="str">
        <f t="shared" si="8"/>
        <v>0</v>
      </c>
    </row>
    <row r="117" spans="3:20" x14ac:dyDescent="0.25">
      <c r="C117" s="67">
        <f>IF(E117&lt;1,0,IF(INT(E117*100)=INT(E116*100),C116,18))</f>
        <v>0</v>
      </c>
      <c r="D117" s="68" t="str">
        <f>IF(OR(C117&lt;1,H117&lt;&gt;"",COUNTIF(T$100:T117,T117)&gt;3),"",VLOOKUP(C117-COUNTA(H$100:H117),DD!$E$24:$F$49,2))</f>
        <v/>
      </c>
      <c r="E117" s="69">
        <f>IF(LARGE($R$2:$R$25,18)&lt;1,0,LARGE($R$2:$R$25,18))</f>
        <v>0</v>
      </c>
      <c r="F117" s="70">
        <f t="shared" si="3"/>
        <v>0</v>
      </c>
      <c r="G117" s="68">
        <f t="shared" si="4"/>
        <v>0</v>
      </c>
      <c r="H117" s="71"/>
      <c r="I117" s="72" t="str">
        <f t="shared" si="5"/>
        <v/>
      </c>
      <c r="R117" s="45">
        <f t="shared" si="6"/>
        <v>0</v>
      </c>
      <c r="S117" s="45">
        <f t="shared" si="7"/>
        <v>0</v>
      </c>
      <c r="T117" s="73" t="str">
        <f t="shared" si="8"/>
        <v>0</v>
      </c>
    </row>
    <row r="118" spans="3:20" x14ac:dyDescent="0.25">
      <c r="C118" s="67">
        <f>IF(E118&lt;1,0,IF(INT(E118*100)=INT(E117*100),C117,19))</f>
        <v>0</v>
      </c>
      <c r="D118" s="68" t="str">
        <f>IF(OR(C118&lt;1,H118&lt;&gt;"",COUNTIF(T$100:T118,T118)&gt;3),"",VLOOKUP(C118-COUNTA(H$100:H118),DD!$E$24:$F$49,2))</f>
        <v/>
      </c>
      <c r="E118" s="69">
        <f>IF(LARGE($R$2:$R$25,19)&lt;1,0,LARGE($R$2:$R$25,19))</f>
        <v>0</v>
      </c>
      <c r="F118" s="70">
        <f t="shared" si="3"/>
        <v>0</v>
      </c>
      <c r="G118" s="68">
        <f t="shared" si="4"/>
        <v>0</v>
      </c>
      <c r="H118" s="71"/>
      <c r="I118" s="72" t="str">
        <f t="shared" si="5"/>
        <v/>
      </c>
      <c r="R118" s="45">
        <f t="shared" si="6"/>
        <v>0</v>
      </c>
      <c r="S118" s="45">
        <f t="shared" si="7"/>
        <v>0</v>
      </c>
      <c r="T118" s="73" t="str">
        <f t="shared" si="8"/>
        <v>0</v>
      </c>
    </row>
    <row r="119" spans="3:20" x14ac:dyDescent="0.25">
      <c r="C119" s="67">
        <f>IF(E119&lt;1,0,IF(INT(E119*100)=INT(E118*100),C118,20))</f>
        <v>0</v>
      </c>
      <c r="D119" s="68" t="str">
        <f>IF(OR(C119&lt;1,H119&lt;&gt;"",COUNTIF(T$100:T119,T119)&gt;3),"",VLOOKUP(C119-COUNTA(H$100:H119),DD!$E$24:$F$49,2))</f>
        <v/>
      </c>
      <c r="E119" s="69">
        <f>IF(LARGE($R$2:$R$25,20)&lt;1,0,LARGE($R$2:$R$25,20))</f>
        <v>0</v>
      </c>
      <c r="F119" s="70">
        <f t="shared" si="3"/>
        <v>0</v>
      </c>
      <c r="G119" s="68">
        <f t="shared" si="4"/>
        <v>0</v>
      </c>
      <c r="H119" s="71"/>
      <c r="I119" s="72" t="str">
        <f t="shared" si="5"/>
        <v/>
      </c>
      <c r="R119" s="45">
        <f t="shared" si="6"/>
        <v>0</v>
      </c>
      <c r="S119" s="45">
        <f t="shared" si="7"/>
        <v>0</v>
      </c>
      <c r="T119" s="73" t="str">
        <f t="shared" si="8"/>
        <v>0</v>
      </c>
    </row>
    <row r="120" spans="3:20" x14ac:dyDescent="0.25">
      <c r="C120" s="67">
        <f>IF(E120&lt;1,0,IF(INT(E120*100)=INT(E119*100),C119,21))</f>
        <v>0</v>
      </c>
      <c r="D120" s="68" t="str">
        <f>IF(OR(C120&lt;1,H120&lt;&gt;"",COUNTIF(T$100:T120,T120)&gt;3),"",VLOOKUP(C120-COUNTA(H$100:H120),DD!$E$24:$F$49,2))</f>
        <v/>
      </c>
      <c r="E120" s="69">
        <f>IF(LARGE($R$2:$R$25,21)&lt;1,0,LARGE($R$2:$R$25,21))</f>
        <v>0</v>
      </c>
      <c r="F120" s="70">
        <f t="shared" si="3"/>
        <v>0</v>
      </c>
      <c r="G120" s="68">
        <f t="shared" si="4"/>
        <v>0</v>
      </c>
      <c r="H120" s="71"/>
      <c r="I120" s="72" t="str">
        <f t="shared" si="5"/>
        <v/>
      </c>
      <c r="R120" s="45">
        <f t="shared" si="6"/>
        <v>0</v>
      </c>
      <c r="S120" s="45">
        <f t="shared" si="7"/>
        <v>0</v>
      </c>
      <c r="T120" s="73" t="str">
        <f t="shared" si="8"/>
        <v>0</v>
      </c>
    </row>
    <row r="121" spans="3:20" x14ac:dyDescent="0.25">
      <c r="C121" s="67">
        <f>IF(E121&lt;1,0,IF(INT(E121*100)=INT(E120*100),C120,22))</f>
        <v>0</v>
      </c>
      <c r="D121" s="68" t="str">
        <f>IF(OR(C121&lt;1,H121&lt;&gt;"",COUNTIF(T$100:T121,T121)&gt;3),"",VLOOKUP(C121-COUNTA(H$100:H121),DD!$E$24:$F$49,2))</f>
        <v/>
      </c>
      <c r="E121" s="69">
        <f>IF(LARGE($R$2:$R$25,22)&lt;1,0,LARGE($R$2:$R$25,22))</f>
        <v>0</v>
      </c>
      <c r="F121" s="70">
        <f t="shared" si="3"/>
        <v>0</v>
      </c>
      <c r="G121" s="68">
        <f t="shared" si="4"/>
        <v>0</v>
      </c>
      <c r="H121" s="71"/>
      <c r="I121" s="72" t="str">
        <f t="shared" si="5"/>
        <v/>
      </c>
      <c r="R121" s="45">
        <f t="shared" si="6"/>
        <v>0</v>
      </c>
      <c r="S121" s="45">
        <f t="shared" si="7"/>
        <v>0</v>
      </c>
      <c r="T121" s="73" t="str">
        <f t="shared" si="8"/>
        <v>0</v>
      </c>
    </row>
    <row r="122" spans="3:20" x14ac:dyDescent="0.25">
      <c r="C122" s="67">
        <f>IF(E122&lt;1,0,IF(INT(E122*100)=INT(E121*100),C121,23))</f>
        <v>0</v>
      </c>
      <c r="D122" s="68" t="str">
        <f>IF(OR(C122&lt;1,H122&lt;&gt;"",COUNTIF(T$100:T122,T122)&gt;3),"",VLOOKUP(C122-COUNTA(H$100:H122),DD!$E$24:$F$49,2))</f>
        <v/>
      </c>
      <c r="E122" s="69">
        <f>IF(LARGE($R$2:$R$25,23)&lt;1,0,LARGE($R$2:$R$25,23))</f>
        <v>0</v>
      </c>
      <c r="F122" s="70">
        <f t="shared" si="3"/>
        <v>0</v>
      </c>
      <c r="G122" s="68">
        <f t="shared" si="4"/>
        <v>0</v>
      </c>
      <c r="H122" s="71"/>
      <c r="I122" s="72" t="str">
        <f t="shared" si="5"/>
        <v/>
      </c>
      <c r="R122" s="45">
        <f t="shared" si="6"/>
        <v>0</v>
      </c>
      <c r="S122" s="45">
        <f t="shared" si="7"/>
        <v>0</v>
      </c>
      <c r="T122" s="73" t="str">
        <f t="shared" si="8"/>
        <v>0</v>
      </c>
    </row>
    <row r="123" spans="3:20" x14ac:dyDescent="0.25">
      <c r="C123" s="67">
        <f>IF(E123&lt;1,0,IF(INT(E123*100)=INT(E122*100),C122,24))</f>
        <v>0</v>
      </c>
      <c r="D123" s="68" t="str">
        <f>IF(OR(C123&lt;1,H123&lt;&gt;"",COUNTIF(T$100:T123,T123)&gt;3),"",VLOOKUP(C123-COUNTA(H$100:H123),DD!$E$24:$F$49,2))</f>
        <v/>
      </c>
      <c r="E123" s="69">
        <f>IF(LARGE($R$2:$R$25,24)&lt;1,0,LARGE($R$2:$R$25,24))</f>
        <v>0</v>
      </c>
      <c r="F123" s="70">
        <f t="shared" si="3"/>
        <v>0</v>
      </c>
      <c r="G123" s="68">
        <f t="shared" si="4"/>
        <v>0</v>
      </c>
      <c r="H123" s="71"/>
      <c r="I123" s="72" t="str">
        <f>IF(AND(C123=C122,C123&lt;&gt;0),"TIE","")</f>
        <v/>
      </c>
      <c r="R123" s="45">
        <f t="shared" si="6"/>
        <v>0</v>
      </c>
      <c r="S123" s="45">
        <f t="shared" si="7"/>
        <v>0</v>
      </c>
      <c r="T123" s="73" t="str">
        <f t="shared" si="8"/>
        <v>0</v>
      </c>
    </row>
    <row r="124" spans="3:20" x14ac:dyDescent="0.25">
      <c r="C124" s="74"/>
      <c r="D124" s="75"/>
      <c r="E124" s="76"/>
      <c r="F124" s="77"/>
      <c r="G124" s="75"/>
      <c r="H124" s="78"/>
      <c r="I124" s="79"/>
    </row>
  </sheetData>
  <sheetProtection sheet="1" objects="1" scenarios="1"/>
  <mergeCells count="72">
    <mergeCell ref="A2:A5"/>
    <mergeCell ref="B2:B5"/>
    <mergeCell ref="C2:C5"/>
    <mergeCell ref="A6:A9"/>
    <mergeCell ref="B6:B9"/>
    <mergeCell ref="C6:C9"/>
    <mergeCell ref="A10:A13"/>
    <mergeCell ref="B10:B13"/>
    <mergeCell ref="C10:C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915" priority="2">
      <formula>IF(SUM(G2:G3)&gt;3.7,1,0)</formula>
    </cfRule>
  </conditionalFormatting>
  <conditionalFormatting sqref="G2">
    <cfRule type="expression" dxfId="914" priority="3">
      <formula>IF(SUM(G2:G3)&gt;3.7,1,0)</formula>
    </cfRule>
  </conditionalFormatting>
  <conditionalFormatting sqref="E3">
    <cfRule type="expression" dxfId="913" priority="4">
      <formula>IF(E3="",0,IF(LEFT(E3,1)=LEFT(E2,1),1,0))</formula>
    </cfRule>
  </conditionalFormatting>
  <conditionalFormatting sqref="E5">
    <cfRule type="expression" dxfId="912" priority="5">
      <formula>IF(E5="",0,IF(OR(LEFT(E5,LEN(E5)-1)=LEFT(E4,LEN(E4)-1),LEFT(E5,LEN(E5)-1)=LEFT(E3,LEN(E3)-1),LEFT(E5,LEN(E5)-1)=LEFT(E2,LEN(E2)-1),LEFT(E5,1)=LEFT(E4,1)),1,0))</formula>
    </cfRule>
  </conditionalFormatting>
  <conditionalFormatting sqref="E4">
    <cfRule type="expression" dxfId="911" priority="6">
      <formula>IF(E4="",0,IF(OR(LEFT(E4,LEN(E4)-1)=LEFT(E3,LEN(E3)-1),LEFT(E4,LEN(E4)-1)=LEFT(E2,LEN(E2)-1)),1,0))</formula>
    </cfRule>
  </conditionalFormatting>
  <conditionalFormatting sqref="G7">
    <cfRule type="expression" dxfId="910" priority="7">
      <formula>IF(SUM(G6:G7)&gt;3.7,1,0)</formula>
    </cfRule>
  </conditionalFormatting>
  <conditionalFormatting sqref="G6">
    <cfRule type="expression" dxfId="909" priority="8">
      <formula>IF(SUM(G6:G7)&gt;3.7,1,0)</formula>
    </cfRule>
  </conditionalFormatting>
  <conditionalFormatting sqref="E7">
    <cfRule type="expression" dxfId="908" priority="9">
      <formula>IF(E7="",0,IF(LEFT(E7,1)=LEFT(E6,1),1,0))</formula>
    </cfRule>
  </conditionalFormatting>
  <conditionalFormatting sqref="E9">
    <cfRule type="expression" dxfId="907" priority="10">
      <formula>IF(E9="",0,IF(OR(LEFT(E9,LEN(E9)-1)=LEFT(E8,LEN(E8)-1),LEFT(E9,LEN(E9)-1)=LEFT(E7,LEN(E7)-1),LEFT(E9,LEN(E9)-1)=LEFT(E6,LEN(E6)-1),LEFT(E9,1)=LEFT(E8,1)),1,0))</formula>
    </cfRule>
  </conditionalFormatting>
  <conditionalFormatting sqref="E8">
    <cfRule type="expression" dxfId="906" priority="11">
      <formula>IF(E8="",0,IF(OR(LEFT(E8,LEN(E8)-1)=LEFT(E7,LEN(E7)-1),LEFT(E8,LEN(E8)-1)=LEFT(E6,LEN(E6)-1)),1,0))</formula>
    </cfRule>
  </conditionalFormatting>
  <conditionalFormatting sqref="G11">
    <cfRule type="expression" dxfId="905" priority="12">
      <formula>IF(SUM(G10:G11)&gt;3.7,1,0)</formula>
    </cfRule>
  </conditionalFormatting>
  <conditionalFormatting sqref="G10">
    <cfRule type="expression" dxfId="904" priority="13">
      <formula>IF(SUM(G10:G11)&gt;3.7,1,0)</formula>
    </cfRule>
  </conditionalFormatting>
  <conditionalFormatting sqref="E11">
    <cfRule type="expression" dxfId="903" priority="14">
      <formula>IF(E11="",0,IF(LEFT(E11,1)=LEFT(E10,1),1,0))</formula>
    </cfRule>
  </conditionalFormatting>
  <conditionalFormatting sqref="E13">
    <cfRule type="expression" dxfId="902" priority="15">
      <formula>IF(E13="",0,IF(OR(LEFT(E13,LEN(E13)-1)=LEFT(E12,LEN(E12)-1),LEFT(E13,LEN(E13)-1)=LEFT(E11,LEN(E11)-1),LEFT(E13,LEN(E13)-1)=LEFT(E10,LEN(E10)-1),LEFT(E13,1)=LEFT(E12,1)),1,0))</formula>
    </cfRule>
  </conditionalFormatting>
  <conditionalFormatting sqref="E12">
    <cfRule type="expression" dxfId="901" priority="16">
      <formula>IF(E12="",0,IF(OR(LEFT(E12,LEN(E12)-1)=LEFT(E11,LEN(E11)-1),LEFT(E12,LEN(E12)-1)=LEFT(E10,LEN(E10)-1)),1,0))</formula>
    </cfRule>
  </conditionalFormatting>
  <conditionalFormatting sqref="G15">
    <cfRule type="expression" dxfId="900" priority="17">
      <formula>IF(SUM(G14:G15)&gt;3.7,1,0)</formula>
    </cfRule>
  </conditionalFormatting>
  <conditionalFormatting sqref="G14">
    <cfRule type="expression" dxfId="899" priority="18">
      <formula>IF(SUM(G14:G15)&gt;3.7,1,0)</formula>
    </cfRule>
  </conditionalFormatting>
  <conditionalFormatting sqref="E15">
    <cfRule type="expression" dxfId="898" priority="19">
      <formula>IF(E15="",0,IF(LEFT(E15,1)=LEFT(E14,1),1,0))</formula>
    </cfRule>
  </conditionalFormatting>
  <conditionalFormatting sqref="E17">
    <cfRule type="expression" dxfId="897" priority="20">
      <formula>IF(E17="",0,IF(OR(LEFT(E17,LEN(E17)-1)=LEFT(E16,LEN(E16)-1),LEFT(E17,LEN(E17)-1)=LEFT(E15,LEN(E15)-1),LEFT(E17,LEN(E17)-1)=LEFT(E14,LEN(E14)-1),LEFT(E17,1)=LEFT(E16,1)),1,0))</formula>
    </cfRule>
  </conditionalFormatting>
  <conditionalFormatting sqref="E16">
    <cfRule type="expression" dxfId="896" priority="21">
      <formula>IF(E16="",0,IF(OR(LEFT(E16,LEN(E16)-1)=LEFT(E15,LEN(E15)-1),LEFT(E16,LEN(E16)-1)=LEFT(E14,LEN(E14)-1)),1,0))</formula>
    </cfRule>
  </conditionalFormatting>
  <conditionalFormatting sqref="G19">
    <cfRule type="expression" dxfId="895" priority="22">
      <formula>IF(SUM(G18:G19)&gt;3.7,1,0)</formula>
    </cfRule>
  </conditionalFormatting>
  <conditionalFormatting sqref="G18">
    <cfRule type="expression" dxfId="894" priority="23">
      <formula>IF(SUM(G18:G19)&gt;3.7,1,0)</formula>
    </cfRule>
  </conditionalFormatting>
  <conditionalFormatting sqref="E19">
    <cfRule type="expression" dxfId="893" priority="24">
      <formula>IF(E19="",0,IF(LEFT(E19,1)=LEFT(E18,1),1,0))</formula>
    </cfRule>
  </conditionalFormatting>
  <conditionalFormatting sqref="E21">
    <cfRule type="expression" dxfId="892" priority="25">
      <formula>IF(E21="",0,IF(OR(LEFT(E21,LEN(E21)-1)=LEFT(E20,LEN(E20)-1),LEFT(E21,LEN(E21)-1)=LEFT(E19,LEN(E19)-1),LEFT(E21,LEN(E21)-1)=LEFT(E18,LEN(E18)-1),LEFT(E21,1)=LEFT(E20,1)),1,0))</formula>
    </cfRule>
  </conditionalFormatting>
  <conditionalFormatting sqref="E20">
    <cfRule type="expression" dxfId="891" priority="26">
      <formula>IF(E20="",0,IF(OR(LEFT(E20,LEN(E20)-1)=LEFT(E19,LEN(E19)-1),LEFT(E20,LEN(E20)-1)=LEFT(E18,LEN(E18)-1)),1,0))</formula>
    </cfRule>
  </conditionalFormatting>
  <conditionalFormatting sqref="G23">
    <cfRule type="expression" dxfId="890" priority="27">
      <formula>IF(SUM(G22:G23)&gt;3.7,1,0)</formula>
    </cfRule>
  </conditionalFormatting>
  <conditionalFormatting sqref="G22">
    <cfRule type="expression" dxfId="889" priority="28">
      <formula>IF(SUM(G22:G23)&gt;3.7,1,0)</formula>
    </cfRule>
  </conditionalFormatting>
  <conditionalFormatting sqref="E23">
    <cfRule type="expression" dxfId="888" priority="29">
      <formula>IF(E23="",0,IF(LEFT(E23,1)=LEFT(E22,1),1,0))</formula>
    </cfRule>
  </conditionalFormatting>
  <conditionalFormatting sqref="E25">
    <cfRule type="expression" dxfId="887" priority="30">
      <formula>IF(E25="",0,IF(OR(LEFT(E25,LEN(E25)-1)=LEFT(E24,LEN(E24)-1),LEFT(E25,LEN(E25)-1)=LEFT(E23,LEN(E23)-1),LEFT(E25,LEN(E25)-1)=LEFT(E22,LEN(E22)-1),LEFT(E25,1)=LEFT(E24,1)),1,0))</formula>
    </cfRule>
  </conditionalFormatting>
  <conditionalFormatting sqref="E24">
    <cfRule type="expression" dxfId="886" priority="31">
      <formula>IF(E24="",0,IF(OR(LEFT(E24,LEN(E24)-1)=LEFT(E23,LEN(E23)-1),LEFT(E24,LEN(E24)-1)=LEFT(E22,LEN(E22)-1)),1,0))</formula>
    </cfRule>
  </conditionalFormatting>
  <conditionalFormatting sqref="G27">
    <cfRule type="expression" dxfId="885" priority="32">
      <formula>IF(SUM(G26:G27)&gt;3.7,1,0)</formula>
    </cfRule>
  </conditionalFormatting>
  <conditionalFormatting sqref="G26">
    <cfRule type="expression" dxfId="884" priority="33">
      <formula>IF(SUM(G26:G27)&gt;3.7,1,0)</formula>
    </cfRule>
  </conditionalFormatting>
  <conditionalFormatting sqref="E27">
    <cfRule type="expression" dxfId="883" priority="34">
      <formula>IF(E27="",0,IF(LEFT(E27,1)=LEFT(E26,1),1,0))</formula>
    </cfRule>
  </conditionalFormatting>
  <conditionalFormatting sqref="E29">
    <cfRule type="expression" dxfId="882" priority="35">
      <formula>IF(E29="",0,IF(OR(LEFT(E29,LEN(E29)-1)=LEFT(E28,LEN(E28)-1),LEFT(E29,LEN(E29)-1)=LEFT(E27,LEN(E27)-1),LEFT(E29,LEN(E29)-1)=LEFT(E26,LEN(E26)-1),LEFT(E29,1)=LEFT(E28,1)),1,0))</formula>
    </cfRule>
  </conditionalFormatting>
  <conditionalFormatting sqref="E28">
    <cfRule type="expression" dxfId="881" priority="36">
      <formula>IF(E28="",0,IF(OR(LEFT(E28,LEN(E28)-1)=LEFT(E27,LEN(E27)-1),LEFT(E28,LEN(E28)-1)=LEFT(E26,LEN(E26)-1)),1,0))</formula>
    </cfRule>
  </conditionalFormatting>
  <conditionalFormatting sqref="G31">
    <cfRule type="expression" dxfId="880" priority="37">
      <formula>IF(SUM(G30:G31)&gt;3.7,1,0)</formula>
    </cfRule>
  </conditionalFormatting>
  <conditionalFormatting sqref="G30">
    <cfRule type="expression" dxfId="879" priority="38">
      <formula>IF(SUM(G30:G31)&gt;3.7,1,0)</formula>
    </cfRule>
  </conditionalFormatting>
  <conditionalFormatting sqref="E31">
    <cfRule type="expression" dxfId="878" priority="39">
      <formula>IF(E31="",0,IF(LEFT(E31,1)=LEFT(E30,1),1,0))</formula>
    </cfRule>
  </conditionalFormatting>
  <conditionalFormatting sqref="E33">
    <cfRule type="expression" dxfId="877" priority="40">
      <formula>IF(E33="",0,IF(OR(LEFT(E33,LEN(E33)-1)=LEFT(E32,LEN(E32)-1),LEFT(E33,LEN(E33)-1)=LEFT(E31,LEN(E31)-1),LEFT(E33,LEN(E33)-1)=LEFT(E30,LEN(E30)-1),LEFT(E33,1)=LEFT(E32,1)),1,0))</formula>
    </cfRule>
  </conditionalFormatting>
  <conditionalFormatting sqref="E32">
    <cfRule type="expression" dxfId="876" priority="41">
      <formula>IF(E32="",0,IF(OR(LEFT(E32,LEN(E32)-1)=LEFT(E31,LEN(E31)-1),LEFT(E32,LEN(E32)-1)=LEFT(E30,LEN(E30)-1)),1,0))</formula>
    </cfRule>
  </conditionalFormatting>
  <conditionalFormatting sqref="G35">
    <cfRule type="expression" dxfId="875" priority="42">
      <formula>IF(SUM(G34:G35)&gt;3.7,1,0)</formula>
    </cfRule>
  </conditionalFormatting>
  <conditionalFormatting sqref="G34">
    <cfRule type="expression" dxfId="874" priority="43">
      <formula>IF(SUM(G34:G35)&gt;3.7,1,0)</formula>
    </cfRule>
  </conditionalFormatting>
  <conditionalFormatting sqref="E35">
    <cfRule type="expression" dxfId="873" priority="44">
      <formula>IF(E35="",0,IF(LEFT(E35,1)=LEFT(E34,1),1,0))</formula>
    </cfRule>
  </conditionalFormatting>
  <conditionalFormatting sqref="E37">
    <cfRule type="expression" dxfId="872" priority="45">
      <formula>IF(E37="",0,IF(OR(LEFT(E37,LEN(E37)-1)=LEFT(E36,LEN(E36)-1),LEFT(E37,LEN(E37)-1)=LEFT(E35,LEN(E35)-1),LEFT(E37,LEN(E37)-1)=LEFT(E34,LEN(E34)-1),LEFT(E37,1)=LEFT(E36,1)),1,0))</formula>
    </cfRule>
  </conditionalFormatting>
  <conditionalFormatting sqref="E36">
    <cfRule type="expression" dxfId="871" priority="46">
      <formula>IF(E36="",0,IF(OR(LEFT(E36,LEN(E36)-1)=LEFT(E35,LEN(E35)-1),LEFT(E36,LEN(E36)-1)=LEFT(E34,LEN(E34)-1)),1,0))</formula>
    </cfRule>
  </conditionalFormatting>
  <conditionalFormatting sqref="G39">
    <cfRule type="expression" dxfId="870" priority="47">
      <formula>IF(SUM(G38:G39)&gt;3.7,1,0)</formula>
    </cfRule>
  </conditionalFormatting>
  <conditionalFormatting sqref="G38">
    <cfRule type="expression" dxfId="869" priority="48">
      <formula>IF(SUM(G38:G39)&gt;3.7,1,0)</formula>
    </cfRule>
  </conditionalFormatting>
  <conditionalFormatting sqref="E39">
    <cfRule type="expression" dxfId="868" priority="49">
      <formula>IF(E39="",0,IF(LEFT(E39,1)=LEFT(E38,1),1,0))</formula>
    </cfRule>
  </conditionalFormatting>
  <conditionalFormatting sqref="E41">
    <cfRule type="expression" dxfId="867" priority="50">
      <formula>IF(E41="",0,IF(OR(LEFT(E41,LEN(E41)-1)=LEFT(E40,LEN(E40)-1),LEFT(E41,LEN(E41)-1)=LEFT(E39,LEN(E39)-1),LEFT(E41,LEN(E41)-1)=LEFT(E38,LEN(E38)-1),LEFT(E41,1)=LEFT(E40,1)),1,0))</formula>
    </cfRule>
  </conditionalFormatting>
  <conditionalFormatting sqref="E40">
    <cfRule type="expression" dxfId="866" priority="51">
      <formula>IF(E40="",0,IF(OR(LEFT(E40,LEN(E40)-1)=LEFT(E39,LEN(E39)-1),LEFT(E40,LEN(E40)-1)=LEFT(E38,LEN(E38)-1)),1,0))</formula>
    </cfRule>
  </conditionalFormatting>
  <conditionalFormatting sqref="G43">
    <cfRule type="expression" dxfId="865" priority="52">
      <formula>IF(SUM(G42:G43)&gt;3.7,1,0)</formula>
    </cfRule>
  </conditionalFormatting>
  <conditionalFormatting sqref="G42">
    <cfRule type="expression" dxfId="864" priority="53">
      <formula>IF(SUM(G42:G43)&gt;3.7,1,0)</formula>
    </cfRule>
  </conditionalFormatting>
  <conditionalFormatting sqref="E43">
    <cfRule type="expression" dxfId="863" priority="54">
      <formula>IF(E43="",0,IF(LEFT(E43,1)=LEFT(E42,1),1,0))</formula>
    </cfRule>
  </conditionalFormatting>
  <conditionalFormatting sqref="E45">
    <cfRule type="expression" dxfId="862" priority="55">
      <formula>IF(E45="",0,IF(OR(LEFT(E45,LEN(E45)-1)=LEFT(E44,LEN(E44)-1),LEFT(E45,LEN(E45)-1)=LEFT(E43,LEN(E43)-1),LEFT(E45,LEN(E45)-1)=LEFT(E42,LEN(E42)-1),LEFT(E45,1)=LEFT(E44,1)),1,0))</formula>
    </cfRule>
  </conditionalFormatting>
  <conditionalFormatting sqref="E44">
    <cfRule type="expression" dxfId="861" priority="56">
      <formula>IF(E44="",0,IF(OR(LEFT(E44,LEN(E44)-1)=LEFT(E43,LEN(E43)-1),LEFT(E44,LEN(E44)-1)=LEFT(E42,LEN(E42)-1)),1,0))</formula>
    </cfRule>
  </conditionalFormatting>
  <conditionalFormatting sqref="G47">
    <cfRule type="expression" dxfId="860" priority="57">
      <formula>IF(SUM(G46:G47)&gt;3.7,1,0)</formula>
    </cfRule>
  </conditionalFormatting>
  <conditionalFormatting sqref="G46">
    <cfRule type="expression" dxfId="859" priority="58">
      <formula>IF(SUM(G46:G47)&gt;3.7,1,0)</formula>
    </cfRule>
  </conditionalFormatting>
  <conditionalFormatting sqref="E47">
    <cfRule type="expression" dxfId="858" priority="59">
      <formula>IF(E47="",0,IF(LEFT(E47,1)=LEFT(E46,1),1,0))</formula>
    </cfRule>
  </conditionalFormatting>
  <conditionalFormatting sqref="E49">
    <cfRule type="expression" dxfId="857" priority="60">
      <formula>IF(E49="",0,IF(OR(LEFT(E49,LEN(E49)-1)=LEFT(E48,LEN(E48)-1),LEFT(E49,LEN(E49)-1)=LEFT(E47,LEN(E47)-1),LEFT(E49,LEN(E49)-1)=LEFT(E46,LEN(E46)-1),LEFT(E49,1)=LEFT(E48,1)),1,0))</formula>
    </cfRule>
  </conditionalFormatting>
  <conditionalFormatting sqref="E48">
    <cfRule type="expression" dxfId="856" priority="61">
      <formula>IF(E48="",0,IF(OR(LEFT(E48,LEN(E48)-1)=LEFT(E47,LEN(E47)-1),LEFT(E48,LEN(E48)-1)=LEFT(E46,LEN(E46)-1)),1,0))</formula>
    </cfRule>
  </conditionalFormatting>
  <conditionalFormatting sqref="G51">
    <cfRule type="expression" dxfId="855" priority="62">
      <formula>IF(SUM(G50:G51)&gt;3.7,1,0)</formula>
    </cfRule>
  </conditionalFormatting>
  <conditionalFormatting sqref="G50">
    <cfRule type="expression" dxfId="854" priority="63">
      <formula>IF(SUM(G50:G51)&gt;3.7,1,0)</formula>
    </cfRule>
  </conditionalFormatting>
  <conditionalFormatting sqref="E51">
    <cfRule type="expression" dxfId="853" priority="64">
      <formula>IF(E51="",0,IF(LEFT(E51,1)=LEFT(E50,1),1,0))</formula>
    </cfRule>
  </conditionalFormatting>
  <conditionalFormatting sqref="E53">
    <cfRule type="expression" dxfId="852" priority="65">
      <formula>IF(E53="",0,IF(OR(LEFT(E53,LEN(E53)-1)=LEFT(E52,LEN(E52)-1),LEFT(E53,LEN(E53)-1)=LEFT(E51,LEN(E51)-1),LEFT(E53,LEN(E53)-1)=LEFT(E50,LEN(E50)-1),LEFT(E53,1)=LEFT(E52,1)),1,0))</formula>
    </cfRule>
  </conditionalFormatting>
  <conditionalFormatting sqref="E52">
    <cfRule type="expression" dxfId="851" priority="66">
      <formula>IF(E52="",0,IF(OR(LEFT(E52,LEN(E52)-1)=LEFT(E51,LEN(E51)-1),LEFT(E52,LEN(E52)-1)=LEFT(E50,LEN(E50)-1)),1,0))</formula>
    </cfRule>
  </conditionalFormatting>
  <conditionalFormatting sqref="G55">
    <cfRule type="expression" dxfId="850" priority="67">
      <formula>IF(SUM(G54:G55)&gt;3.7,1,0)</formula>
    </cfRule>
  </conditionalFormatting>
  <conditionalFormatting sqref="G54">
    <cfRule type="expression" dxfId="849" priority="68">
      <formula>IF(SUM(G54:G55)&gt;3.7,1,0)</formula>
    </cfRule>
  </conditionalFormatting>
  <conditionalFormatting sqref="E55">
    <cfRule type="expression" dxfId="848" priority="69">
      <formula>IF(E55="",0,IF(LEFT(E55,1)=LEFT(E54,1),1,0))</formula>
    </cfRule>
  </conditionalFormatting>
  <conditionalFormatting sqref="E57">
    <cfRule type="expression" dxfId="847" priority="70">
      <formula>IF(E57="",0,IF(OR(LEFT(E57,LEN(E57)-1)=LEFT(E56,LEN(E56)-1),LEFT(E57,LEN(E57)-1)=LEFT(E55,LEN(E55)-1),LEFT(E57,LEN(E57)-1)=LEFT(E54,LEN(E54)-1),LEFT(E57,1)=LEFT(E56,1)),1,0))</formula>
    </cfRule>
  </conditionalFormatting>
  <conditionalFormatting sqref="E56">
    <cfRule type="expression" dxfId="846" priority="71">
      <formula>IF(E56="",0,IF(OR(LEFT(E56,LEN(E56)-1)=LEFT(E55,LEN(E55)-1),LEFT(E56,LEN(E56)-1)=LEFT(E54,LEN(E54)-1)),1,0))</formula>
    </cfRule>
  </conditionalFormatting>
  <conditionalFormatting sqref="G59">
    <cfRule type="expression" dxfId="845" priority="72">
      <formula>IF(SUM(G58:G59)&gt;3.7,1,0)</formula>
    </cfRule>
  </conditionalFormatting>
  <conditionalFormatting sqref="G58">
    <cfRule type="expression" dxfId="844" priority="73">
      <formula>IF(SUM(G58:G59)&gt;3.7,1,0)</formula>
    </cfRule>
  </conditionalFormatting>
  <conditionalFormatting sqref="E59">
    <cfRule type="expression" dxfId="843" priority="74">
      <formula>IF(E59="",0,IF(LEFT(E59,1)=LEFT(E58,1),1,0))</formula>
    </cfRule>
  </conditionalFormatting>
  <conditionalFormatting sqref="E61">
    <cfRule type="expression" dxfId="842" priority="75">
      <formula>IF(E61="",0,IF(OR(LEFT(E61,LEN(E61)-1)=LEFT(E60,LEN(E60)-1),LEFT(E61,LEN(E61)-1)=LEFT(E59,LEN(E59)-1),LEFT(E61,LEN(E61)-1)=LEFT(E58,LEN(E58)-1),LEFT(E61,1)=LEFT(E60,1)),1,0))</formula>
    </cfRule>
  </conditionalFormatting>
  <conditionalFormatting sqref="E60">
    <cfRule type="expression" dxfId="841" priority="76">
      <formula>IF(E60="",0,IF(OR(LEFT(E60,LEN(E60)-1)=LEFT(E59,LEN(E59)-1),LEFT(E60,LEN(E60)-1)=LEFT(E58,LEN(E58)-1)),1,0))</formula>
    </cfRule>
  </conditionalFormatting>
  <conditionalFormatting sqref="G63">
    <cfRule type="expression" dxfId="840" priority="77">
      <formula>IF(SUM(G62:G63)&gt;3.7,1,0)</formula>
    </cfRule>
  </conditionalFormatting>
  <conditionalFormatting sqref="G62">
    <cfRule type="expression" dxfId="839" priority="78">
      <formula>IF(SUM(G62:G63)&gt;3.7,1,0)</formula>
    </cfRule>
  </conditionalFormatting>
  <conditionalFormatting sqref="E63">
    <cfRule type="expression" dxfId="838" priority="79">
      <formula>IF(E63="",0,IF(LEFT(E63,1)=LEFT(E62,1),1,0))</formula>
    </cfRule>
  </conditionalFormatting>
  <conditionalFormatting sqref="E65">
    <cfRule type="expression" dxfId="837" priority="80">
      <formula>IF(E65="",0,IF(OR(LEFT(E65,LEN(E65)-1)=LEFT(E64,LEN(E64)-1),LEFT(E65,LEN(E65)-1)=LEFT(E63,LEN(E63)-1),LEFT(E65,LEN(E65)-1)=LEFT(E62,LEN(E62)-1),LEFT(E65,1)=LEFT(E64,1)),1,0))</formula>
    </cfRule>
  </conditionalFormatting>
  <conditionalFormatting sqref="E64">
    <cfRule type="expression" dxfId="836" priority="81">
      <formula>IF(E64="",0,IF(OR(LEFT(E64,LEN(E64)-1)=LEFT(E63,LEN(E63)-1),LEFT(E64,LEN(E64)-1)=LEFT(E62,LEN(E62)-1)),1,0))</formula>
    </cfRule>
  </conditionalFormatting>
  <conditionalFormatting sqref="G67">
    <cfRule type="expression" dxfId="835" priority="82">
      <formula>IF(SUM(G66:G67)&gt;3.7,1,0)</formula>
    </cfRule>
  </conditionalFormatting>
  <conditionalFormatting sqref="G66">
    <cfRule type="expression" dxfId="834" priority="83">
      <formula>IF(SUM(G66:G67)&gt;3.7,1,0)</formula>
    </cfRule>
  </conditionalFormatting>
  <conditionalFormatting sqref="E67">
    <cfRule type="expression" dxfId="833" priority="84">
      <formula>IF(E67="",0,IF(LEFT(E67,1)=LEFT(E66,1),1,0))</formula>
    </cfRule>
  </conditionalFormatting>
  <conditionalFormatting sqref="E69">
    <cfRule type="expression" dxfId="832" priority="85">
      <formula>IF(E69="",0,IF(OR(LEFT(E69,LEN(E69)-1)=LEFT(E68,LEN(E68)-1),LEFT(E69,LEN(E69)-1)=LEFT(E67,LEN(E67)-1),LEFT(E69,LEN(E69)-1)=LEFT(E66,LEN(E66)-1),LEFT(E69,1)=LEFT(E68,1)),1,0))</formula>
    </cfRule>
  </conditionalFormatting>
  <conditionalFormatting sqref="E68">
    <cfRule type="expression" dxfId="831" priority="86">
      <formula>IF(E68="",0,IF(OR(LEFT(E68,LEN(E68)-1)=LEFT(E67,LEN(E67)-1),LEFT(E68,LEN(E68)-1)=LEFT(E66,LEN(E66)-1)),1,0))</formula>
    </cfRule>
  </conditionalFormatting>
  <conditionalFormatting sqref="G71">
    <cfRule type="expression" dxfId="830" priority="87">
      <formula>IF(SUM(G70:G71)&gt;3.7,1,0)</formula>
    </cfRule>
  </conditionalFormatting>
  <conditionalFormatting sqref="G70">
    <cfRule type="expression" dxfId="829" priority="88">
      <formula>IF(SUM(G70:G71)&gt;3.7,1,0)</formula>
    </cfRule>
  </conditionalFormatting>
  <conditionalFormatting sqref="E71">
    <cfRule type="expression" dxfId="828" priority="89">
      <formula>IF(E71="",0,IF(LEFT(E71,1)=LEFT(E70,1),1,0))</formula>
    </cfRule>
  </conditionalFormatting>
  <conditionalFormatting sqref="E73">
    <cfRule type="expression" dxfId="827" priority="90">
      <formula>IF(E73="",0,IF(OR(LEFT(E73,LEN(E73)-1)=LEFT(E72,LEN(E72)-1),LEFT(E73,LEN(E73)-1)=LEFT(E71,LEN(E71)-1),LEFT(E73,LEN(E73)-1)=LEFT(E70,LEN(E70)-1),LEFT(E73,1)=LEFT(E72,1)),1,0))</formula>
    </cfRule>
  </conditionalFormatting>
  <conditionalFormatting sqref="E72">
    <cfRule type="expression" dxfId="826" priority="91">
      <formula>IF(E72="",0,IF(OR(LEFT(E72,LEN(E72)-1)=LEFT(E71,LEN(E71)-1),LEFT(E72,LEN(E72)-1)=LEFT(E70,LEN(E70)-1)),1,0))</formula>
    </cfRule>
  </conditionalFormatting>
  <conditionalFormatting sqref="G75">
    <cfRule type="expression" dxfId="825" priority="92">
      <formula>IF(SUM(G74:G75)&gt;3.7,1,0)</formula>
    </cfRule>
  </conditionalFormatting>
  <conditionalFormatting sqref="G74">
    <cfRule type="expression" dxfId="824" priority="93">
      <formula>IF(SUM(G74:G75)&gt;3.7,1,0)</formula>
    </cfRule>
  </conditionalFormatting>
  <conditionalFormatting sqref="E75">
    <cfRule type="expression" dxfId="823" priority="94">
      <formula>IF(E75="",0,IF(LEFT(E75,1)=LEFT(E74,1),1,0))</formula>
    </cfRule>
  </conditionalFormatting>
  <conditionalFormatting sqref="E77">
    <cfRule type="expression" dxfId="822" priority="95">
      <formula>IF(E77="",0,IF(OR(LEFT(E77,LEN(E77)-1)=LEFT(E76,LEN(E76)-1),LEFT(E77,LEN(E77)-1)=LEFT(E75,LEN(E75)-1),LEFT(E77,LEN(E77)-1)=LEFT(E74,LEN(E74)-1),LEFT(E77,1)=LEFT(E76,1)),1,0))</formula>
    </cfRule>
  </conditionalFormatting>
  <conditionalFormatting sqref="E76">
    <cfRule type="expression" dxfId="821" priority="96">
      <formula>IF(E76="",0,IF(OR(LEFT(E76,LEN(E76)-1)=LEFT(E75,LEN(E75)-1),LEFT(E76,LEN(E76)-1)=LEFT(E74,LEN(E74)-1)),1,0))</formula>
    </cfRule>
  </conditionalFormatting>
  <conditionalFormatting sqref="G79">
    <cfRule type="expression" dxfId="820" priority="97">
      <formula>IF(SUM(G78:G79)&gt;3.7,1,0)</formula>
    </cfRule>
  </conditionalFormatting>
  <conditionalFormatting sqref="G78">
    <cfRule type="expression" dxfId="819" priority="98">
      <formula>IF(SUM(G78:G79)&gt;3.7,1,0)</formula>
    </cfRule>
  </conditionalFormatting>
  <conditionalFormatting sqref="E79">
    <cfRule type="expression" dxfId="818" priority="99">
      <formula>IF(E79="",0,IF(LEFT(E79,1)=LEFT(E78,1),1,0))</formula>
    </cfRule>
  </conditionalFormatting>
  <conditionalFormatting sqref="E81">
    <cfRule type="expression" dxfId="817" priority="100">
      <formula>IF(E81="",0,IF(OR(LEFT(E81,LEN(E81)-1)=LEFT(E80,LEN(E80)-1),LEFT(E81,LEN(E81)-1)=LEFT(E79,LEN(E79)-1),LEFT(E81,LEN(E81)-1)=LEFT(E78,LEN(E78)-1),LEFT(E81,1)=LEFT(E80,1)),1,0))</formula>
    </cfRule>
  </conditionalFormatting>
  <conditionalFormatting sqref="E80">
    <cfRule type="expression" dxfId="816" priority="101">
      <formula>IF(E80="",0,IF(OR(LEFT(E80,LEN(E80)-1)=LEFT(E79,LEN(E79)-1),LEFT(E80,LEN(E80)-1)=LEFT(E78,LEN(E78)-1)),1,0))</formula>
    </cfRule>
  </conditionalFormatting>
  <conditionalFormatting sqref="G83">
    <cfRule type="expression" dxfId="815" priority="102">
      <formula>IF(SUM(G82:G83)&gt;3.7,1,0)</formula>
    </cfRule>
  </conditionalFormatting>
  <conditionalFormatting sqref="G82">
    <cfRule type="expression" dxfId="814" priority="103">
      <formula>IF(SUM(G82:G83)&gt;3.7,1,0)</formula>
    </cfRule>
  </conditionalFormatting>
  <conditionalFormatting sqref="E83">
    <cfRule type="expression" dxfId="813" priority="104">
      <formula>IF(E83="",0,IF(LEFT(E83,1)=LEFT(E82,1),1,0))</formula>
    </cfRule>
  </conditionalFormatting>
  <conditionalFormatting sqref="E85">
    <cfRule type="expression" dxfId="812" priority="105">
      <formula>IF(E85="",0,IF(OR(LEFT(E85,LEN(E85)-1)=LEFT(E84,LEN(E84)-1),LEFT(E85,LEN(E85)-1)=LEFT(E83,LEN(E83)-1),LEFT(E85,LEN(E85)-1)=LEFT(E82,LEN(E82)-1),LEFT(E85,1)=LEFT(E84,1)),1,0))</formula>
    </cfRule>
  </conditionalFormatting>
  <conditionalFormatting sqref="E84">
    <cfRule type="expression" dxfId="811" priority="106">
      <formula>IF(E84="",0,IF(OR(LEFT(E84,LEN(E84)-1)=LEFT(E83,LEN(E83)-1),LEFT(E84,LEN(E84)-1)=LEFT(E82,LEN(E82)-1)),1,0))</formula>
    </cfRule>
  </conditionalFormatting>
  <conditionalFormatting sqref="G87">
    <cfRule type="expression" dxfId="810" priority="107">
      <formula>IF(SUM(G86:G87)&gt;3.7,1,0)</formula>
    </cfRule>
  </conditionalFormatting>
  <conditionalFormatting sqref="G86">
    <cfRule type="expression" dxfId="809" priority="108">
      <formula>IF(SUM(G86:G87)&gt;3.7,1,0)</formula>
    </cfRule>
  </conditionalFormatting>
  <conditionalFormatting sqref="E87">
    <cfRule type="expression" dxfId="808" priority="109">
      <formula>IF(E87="",0,IF(LEFT(E87,1)=LEFT(E86,1),1,0))</formula>
    </cfRule>
  </conditionalFormatting>
  <conditionalFormatting sqref="E89">
    <cfRule type="expression" dxfId="807" priority="110">
      <formula>IF(E89="",0,IF(OR(LEFT(E89,LEN(E89)-1)=LEFT(E88,LEN(E88)-1),LEFT(E89,LEN(E89)-1)=LEFT(E87,LEN(E87)-1),LEFT(E89,LEN(E89)-1)=LEFT(E86,LEN(E86)-1),LEFT(E89,1)=LEFT(E88,1)),1,0))</formula>
    </cfRule>
  </conditionalFormatting>
  <conditionalFormatting sqref="E88">
    <cfRule type="expression" dxfId="806" priority="111">
      <formula>IF(E88="",0,IF(OR(LEFT(E88,LEN(E88)-1)=LEFT(E87,LEN(E87)-1),LEFT(E88,LEN(E88)-1)=LEFT(E86,LEN(E86)-1)),1,0))</formula>
    </cfRule>
  </conditionalFormatting>
  <conditionalFormatting sqref="G91">
    <cfRule type="expression" dxfId="805" priority="112">
      <formula>IF(SUM(G90:G91)&gt;3.7,1,0)</formula>
    </cfRule>
  </conditionalFormatting>
  <conditionalFormatting sqref="G90">
    <cfRule type="expression" dxfId="804" priority="113">
      <formula>IF(SUM(G90:G91)&gt;3.7,1,0)</formula>
    </cfRule>
  </conditionalFormatting>
  <conditionalFormatting sqref="E91">
    <cfRule type="expression" dxfId="803" priority="114">
      <formula>IF(E91="",0,IF(LEFT(E91,1)=LEFT(E90,1),1,0))</formula>
    </cfRule>
  </conditionalFormatting>
  <conditionalFormatting sqref="E93">
    <cfRule type="expression" dxfId="802" priority="115">
      <formula>IF(E93="",0,IF(OR(LEFT(E93,LEN(E93)-1)=LEFT(E92,LEN(E92)-1),LEFT(E93,LEN(E93)-1)=LEFT(E91,LEN(E91)-1),LEFT(E93,LEN(E93)-1)=LEFT(E90,LEN(E90)-1),LEFT(E93,1)=LEFT(E92,1)),1,0))</formula>
    </cfRule>
  </conditionalFormatting>
  <conditionalFormatting sqref="E92">
    <cfRule type="expression" dxfId="801" priority="116">
      <formula>IF(E92="",0,IF(OR(LEFT(E92,LEN(E92)-1)=LEFT(E91,LEN(E91)-1),LEFT(E92,LEN(E92)-1)=LEFT(E90,LEN(E90)-1)),1,0))</formula>
    </cfRule>
  </conditionalFormatting>
  <conditionalFormatting sqref="G95">
    <cfRule type="expression" dxfId="800" priority="117">
      <formula>IF(SUM(G94:G95)&gt;3.7,1,0)</formula>
    </cfRule>
  </conditionalFormatting>
  <conditionalFormatting sqref="G94">
    <cfRule type="expression" dxfId="799" priority="118">
      <formula>IF(SUM(G94:G95)&gt;3.7,1,0)</formula>
    </cfRule>
  </conditionalFormatting>
  <conditionalFormatting sqref="E95">
    <cfRule type="expression" dxfId="798" priority="119">
      <formula>IF(E95="",0,IF(LEFT(E95,1)=LEFT(E94,1),1,0))</formula>
    </cfRule>
  </conditionalFormatting>
  <conditionalFormatting sqref="E97">
    <cfRule type="expression" dxfId="797" priority="120">
      <formula>IF(E97="",0,IF(OR(LEFT(E97,LEN(E97)-1)=LEFT(E96,LEN(E96)-1),LEFT(E97,LEN(E97)-1)=LEFT(E95,LEN(E95)-1),LEFT(E97,LEN(E97)-1)=LEFT(E94,LEN(E94)-1),LEFT(E97,1)=LEFT(E96,1)),1,0))</formula>
    </cfRule>
  </conditionalFormatting>
  <conditionalFormatting sqref="E96">
    <cfRule type="expression" dxfId="796" priority="121">
      <formula>IF(E96="",0,IF(OR(LEFT(E96,LEN(E96)-1)=LEFT(E95,LEN(E95)-1),LEFT(E96,LEN(E96)-1)=LEFT(E94,LEN(E94)-1)),1,0))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C2:C97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H2:L97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4"/>
  <sheetViews>
    <sheetView zoomScaleNormal="100" workbookViewId="0">
      <pane ySplit="1" topLeftCell="A95" activePane="bottomLeft" state="frozen"/>
      <selection pane="bottomLeft" activeCell="H2" sqref="H2:L41"/>
    </sheetView>
  </sheetViews>
  <sheetFormatPr defaultRowHeight="15" x14ac:dyDescent="0.25"/>
  <cols>
    <col min="1" max="1" width="3.85546875" style="45" customWidth="1"/>
    <col min="2" max="2" width="24.7109375" style="45" customWidth="1"/>
    <col min="3" max="3" width="8.42578125" style="46" customWidth="1"/>
    <col min="4" max="4" width="7.140625" style="46" customWidth="1"/>
    <col min="5" max="5" width="15.7109375" style="46" customWidth="1"/>
    <col min="6" max="6" width="31.85546875" style="45" customWidth="1"/>
    <col min="7" max="13" width="9.140625" style="46" customWidth="1"/>
    <col min="14" max="15" width="9.140625" style="45" customWidth="1"/>
    <col min="16" max="17" width="9.5703125" style="45" customWidth="1"/>
    <col min="18" max="18" width="15.140625" style="45" hidden="1" customWidth="1"/>
    <col min="19" max="19" width="13" style="45" hidden="1" customWidth="1"/>
    <col min="20" max="20" width="9.140625" style="45" hidden="1" customWidth="1"/>
    <col min="21" max="1025" width="9.140625" style="45" customWidth="1"/>
  </cols>
  <sheetData>
    <row r="1" spans="1:20" s="48" customFormat="1" ht="26.25" customHeight="1" x14ac:dyDescent="0.25">
      <c r="A1" s="47" t="s">
        <v>32</v>
      </c>
      <c r="B1" s="47" t="s">
        <v>27</v>
      </c>
      <c r="C1" s="47" t="s">
        <v>33</v>
      </c>
      <c r="D1" s="47"/>
      <c r="E1" s="47" t="s">
        <v>34</v>
      </c>
      <c r="F1" s="47" t="s">
        <v>35</v>
      </c>
      <c r="G1" s="47" t="s">
        <v>36</v>
      </c>
      <c r="H1" s="47" t="s">
        <v>37</v>
      </c>
      <c r="I1" s="47" t="s">
        <v>38</v>
      </c>
      <c r="J1" s="47" t="s">
        <v>39</v>
      </c>
      <c r="K1" s="47" t="s">
        <v>40</v>
      </c>
      <c r="L1" s="47" t="s">
        <v>41</v>
      </c>
      <c r="M1" s="47" t="s">
        <v>42</v>
      </c>
      <c r="N1" s="47" t="s">
        <v>29</v>
      </c>
      <c r="O1" s="47" t="s">
        <v>21</v>
      </c>
    </row>
    <row r="2" spans="1:20" x14ac:dyDescent="0.25">
      <c r="A2" s="97">
        <v>1</v>
      </c>
      <c r="B2" s="109" t="s">
        <v>427</v>
      </c>
      <c r="C2" s="111" t="s">
        <v>60</v>
      </c>
      <c r="D2" s="46">
        <v>1</v>
      </c>
      <c r="E2" s="113" t="s">
        <v>89</v>
      </c>
      <c r="F2" s="45" t="str">
        <f>IF($E2="","",IF(ISNA(VLOOKUP($E2,DD!$A$2:$C$150,2,0)),"NO SUCH DIVE",VLOOKUP($E2,DD!$A$2:$C$150,2,0)))</f>
        <v>Front dive tuck</v>
      </c>
      <c r="G2" s="51">
        <f>IF($E2="","",IF(ISNA(VLOOKUP($E2,DD!$A$2:$C$150,3,0)),"",VLOOKUP($E2,DD!$A$2:$C$150,3,0)))</f>
        <v>1.3</v>
      </c>
      <c r="H2" s="115">
        <v>6</v>
      </c>
      <c r="I2" s="115">
        <v>6</v>
      </c>
      <c r="J2" s="115">
        <v>6.5</v>
      </c>
      <c r="K2" s="115">
        <v>5.5</v>
      </c>
      <c r="L2" s="115">
        <v>7</v>
      </c>
      <c r="M2" s="50"/>
      <c r="N2" s="45">
        <f t="shared" ref="N2:N33" si="0">IF(G2="","",IF(COUNT(H2:L2)=3,IF(M2&lt;&gt;"",(SUM(H2:J2)-6)*G2,SUM(H2:J2)*G2),IF(M2&lt;&gt;"",(SUM(H2:L2)-MAX(H2:L2)-MIN(H2:L2)-6)*G2,(SUM(H2:L2)-MAX(H2:L2)-MIN(H2:L2))*G2)))</f>
        <v>24.05</v>
      </c>
      <c r="O2" s="45">
        <f>IF(N2="","",N2)</f>
        <v>24.05</v>
      </c>
      <c r="R2" s="53">
        <f>O5+0.000001</f>
        <v>97.600000999999992</v>
      </c>
      <c r="S2" s="53" t="str">
        <f>B2</f>
        <v>Luke Myles</v>
      </c>
      <c r="T2" s="53" t="str">
        <f>C2</f>
        <v>VIK</v>
      </c>
    </row>
    <row r="3" spans="1:20" x14ac:dyDescent="0.25">
      <c r="A3" s="97"/>
      <c r="B3" s="109"/>
      <c r="C3" s="111"/>
      <c r="D3" s="46">
        <v>2</v>
      </c>
      <c r="E3" s="113" t="s">
        <v>64</v>
      </c>
      <c r="F3" s="45" t="str">
        <f>IF($E3="","",IF(ISNA(VLOOKUP($E3,DD!$A$2:$C$150,2,0)),"NO SUCH DIVE",VLOOKUP($E3,DD!$A$2:$C$150,2,0)))</f>
        <v>Back dive ½ twist layout</v>
      </c>
      <c r="G3" s="51">
        <f>IF($E3="","",IF(ISNA(VLOOKUP($E3,DD!$A$2:$C$150,3,0)),"",VLOOKUP($E3,DD!$A$2:$C$150,3,0)))</f>
        <v>1.4</v>
      </c>
      <c r="H3" s="115">
        <v>4.5</v>
      </c>
      <c r="I3" s="115">
        <v>4</v>
      </c>
      <c r="J3" s="115">
        <v>4.5</v>
      </c>
      <c r="K3" s="115">
        <v>4.5</v>
      </c>
      <c r="L3" s="115">
        <v>5</v>
      </c>
      <c r="M3" s="50"/>
      <c r="N3" s="45">
        <f t="shared" si="0"/>
        <v>18.899999999999999</v>
      </c>
      <c r="O3" s="45">
        <f>IF(N3="","",N3+O2)</f>
        <v>42.95</v>
      </c>
      <c r="R3" s="53">
        <f>O9+0.000002</f>
        <v>108.900002</v>
      </c>
      <c r="S3" s="53" t="str">
        <f>B6</f>
        <v>Laurent Terreault</v>
      </c>
      <c r="T3" s="53" t="str">
        <f>C6</f>
        <v>WLRC</v>
      </c>
    </row>
    <row r="4" spans="1:20" x14ac:dyDescent="0.25">
      <c r="A4" s="97"/>
      <c r="B4" s="109"/>
      <c r="C4" s="111"/>
      <c r="D4" s="46">
        <v>3</v>
      </c>
      <c r="E4" s="113" t="s">
        <v>72</v>
      </c>
      <c r="F4" s="45" t="str">
        <f>IF($E4="","",IF(ISNA(VLOOKUP($E4,DD!$A$2:$C$150,2,0)),"NO SUCH DIVE",VLOOKUP($E4,DD!$A$2:$C$150,2,0)))</f>
        <v>Front somersault tuck</v>
      </c>
      <c r="G4" s="46">
        <f>IF($E4="","",IF(ISNA(VLOOKUP($E4,DD!$A$2:$C$150,3,0)),"",VLOOKUP($E4,DD!$A$2:$C$150,3,0)))</f>
        <v>1.4</v>
      </c>
      <c r="H4" s="115">
        <v>6.5</v>
      </c>
      <c r="I4" s="115">
        <v>6.5</v>
      </c>
      <c r="J4" s="115">
        <v>6</v>
      </c>
      <c r="K4" s="115">
        <v>6</v>
      </c>
      <c r="L4" s="115">
        <v>7</v>
      </c>
      <c r="M4" s="50"/>
      <c r="N4" s="45">
        <f t="shared" si="0"/>
        <v>26.599999999999998</v>
      </c>
      <c r="O4" s="45">
        <f>IF(N4="","",N4+O3)</f>
        <v>69.55</v>
      </c>
      <c r="R4" s="53">
        <f>O13+0.000003</f>
        <v>3.0000000000000001E-6</v>
      </c>
      <c r="S4" s="53">
        <f>B10</f>
        <v>0</v>
      </c>
      <c r="T4" s="53">
        <f>C10</f>
        <v>0</v>
      </c>
    </row>
    <row r="5" spans="1:20" x14ac:dyDescent="0.25">
      <c r="A5" s="97"/>
      <c r="B5" s="109"/>
      <c r="C5" s="111"/>
      <c r="D5" s="46">
        <v>4</v>
      </c>
      <c r="E5" s="113" t="s">
        <v>146</v>
      </c>
      <c r="F5" s="45" t="str">
        <f>IF($E5="","",IF(ISNA(VLOOKUP($E5,DD!$A$2:$C$150,2,0)),"NO SUCH DIVE",VLOOKUP($E5,DD!$A$2:$C$150,2,0)))</f>
        <v>Back somersault layout</v>
      </c>
      <c r="G5" s="46">
        <f>IF($E5="","",IF(ISNA(VLOOKUP($E5,DD!$A$2:$C$150,3,0)),"",VLOOKUP($E5,DD!$A$2:$C$150,3,0)))</f>
        <v>1.7</v>
      </c>
      <c r="H5" s="115">
        <v>5</v>
      </c>
      <c r="I5" s="115">
        <v>6</v>
      </c>
      <c r="J5" s="115">
        <v>5</v>
      </c>
      <c r="K5" s="115">
        <v>6.5</v>
      </c>
      <c r="L5" s="115">
        <v>5.5</v>
      </c>
      <c r="M5" s="50"/>
      <c r="N5" s="45">
        <f t="shared" si="0"/>
        <v>28.05</v>
      </c>
      <c r="O5" s="54">
        <f>IF(N5="",0,N5+O4)</f>
        <v>97.6</v>
      </c>
      <c r="R5" s="53">
        <f>O17+0.000004</f>
        <v>117.40000400000001</v>
      </c>
      <c r="S5" s="53" t="str">
        <f>B14</f>
        <v>Diego Garcia Acevedo</v>
      </c>
      <c r="T5" s="53" t="str">
        <f>C14</f>
        <v>WSTMT</v>
      </c>
    </row>
    <row r="6" spans="1:20" x14ac:dyDescent="0.25">
      <c r="A6" s="103">
        <v>2</v>
      </c>
      <c r="B6" s="110" t="s">
        <v>428</v>
      </c>
      <c r="C6" s="112" t="s">
        <v>88</v>
      </c>
      <c r="D6" s="80">
        <v>1</v>
      </c>
      <c r="E6" s="114" t="s">
        <v>164</v>
      </c>
      <c r="F6" s="82" t="str">
        <f>IF($E6="","",IF(ISNA(VLOOKUP($E6,DD!$A$2:$C$150,2,0)),"NO SUCH DIVE",VLOOKUP($E6,DD!$A$2:$C$150,2,0)))</f>
        <v>Front somersault layout</v>
      </c>
      <c r="G6" s="83">
        <f>IF($E6="","",IF(ISNA(VLOOKUP($E6,DD!$A$2:$C$150,3,0)),"",VLOOKUP($E6,DD!$A$2:$C$150,3,0)))</f>
        <v>1.6</v>
      </c>
      <c r="H6" s="116">
        <v>5.5</v>
      </c>
      <c r="I6" s="116">
        <v>5.5</v>
      </c>
      <c r="J6" s="116">
        <v>5.5</v>
      </c>
      <c r="K6" s="116">
        <v>5</v>
      </c>
      <c r="L6" s="116">
        <v>5.5</v>
      </c>
      <c r="M6" s="81"/>
      <c r="N6" s="82">
        <f t="shared" si="0"/>
        <v>26.400000000000002</v>
      </c>
      <c r="O6" s="82">
        <f>IF(N6="","",N6)</f>
        <v>26.400000000000002</v>
      </c>
      <c r="R6" s="53">
        <f>O21+0.000005</f>
        <v>5.0000000000000004E-6</v>
      </c>
      <c r="S6" s="53">
        <f>B18</f>
        <v>0</v>
      </c>
      <c r="T6" s="53">
        <f>C18</f>
        <v>0</v>
      </c>
    </row>
    <row r="7" spans="1:20" x14ac:dyDescent="0.25">
      <c r="A7" s="103"/>
      <c r="B7" s="110"/>
      <c r="C7" s="112"/>
      <c r="D7" s="80">
        <v>2</v>
      </c>
      <c r="E7" s="114" t="s">
        <v>175</v>
      </c>
      <c r="F7" s="82" t="str">
        <f>IF($E7="","",IF(ISNA(VLOOKUP($E7,DD!$A$2:$C$150,2,0)),"NO SUCH DIVE",VLOOKUP($E7,DD!$A$2:$C$150,2,0)))</f>
        <v>Back somersault ½ twist free</v>
      </c>
      <c r="G7" s="83">
        <f>IF($E7="","",IF(ISNA(VLOOKUP($E7,DD!$A$2:$C$150,3,0)),"",VLOOKUP($E7,DD!$A$2:$C$150,3,0)))</f>
        <v>1.7</v>
      </c>
      <c r="H7" s="116">
        <v>5</v>
      </c>
      <c r="I7" s="116">
        <v>6.5</v>
      </c>
      <c r="J7" s="116">
        <v>5</v>
      </c>
      <c r="K7" s="116">
        <v>5</v>
      </c>
      <c r="L7" s="116">
        <v>5</v>
      </c>
      <c r="M7" s="81"/>
      <c r="N7" s="82">
        <f t="shared" si="0"/>
        <v>25.5</v>
      </c>
      <c r="O7" s="82">
        <f>IF(N7="","",N7+O6)</f>
        <v>51.900000000000006</v>
      </c>
      <c r="R7" s="53">
        <f>O25+0.000006</f>
        <v>115.900006</v>
      </c>
      <c r="S7" s="53" t="str">
        <f>B22</f>
        <v>Edouard de Salles Laterriere</v>
      </c>
      <c r="T7" s="53" t="str">
        <f>C22</f>
        <v>Side</v>
      </c>
    </row>
    <row r="8" spans="1:20" x14ac:dyDescent="0.25">
      <c r="A8" s="103"/>
      <c r="B8" s="110"/>
      <c r="C8" s="112"/>
      <c r="D8" s="80">
        <v>3</v>
      </c>
      <c r="E8" s="114" t="s">
        <v>308</v>
      </c>
      <c r="F8" s="82" t="str">
        <f>IF($E8="","",IF(ISNA(VLOOKUP($E8,DD!$A$2:$C$150,2,0)),"NO SUCH DIVE",VLOOKUP($E8,DD!$A$2:$C$150,2,0)))</f>
        <v>Front somersault ½ twist layout</v>
      </c>
      <c r="G8" s="80">
        <f>IF($E8="","",IF(ISNA(VLOOKUP($E8,DD!$A$2:$C$150,3,0)),"",VLOOKUP($E8,DD!$A$2:$C$150,3,0)))</f>
        <v>1.9</v>
      </c>
      <c r="H8" s="116">
        <v>3</v>
      </c>
      <c r="I8" s="116">
        <v>4.5</v>
      </c>
      <c r="J8" s="116">
        <v>4.5</v>
      </c>
      <c r="K8" s="116">
        <v>4</v>
      </c>
      <c r="L8" s="116">
        <v>4.5</v>
      </c>
      <c r="M8" s="81"/>
      <c r="N8" s="82">
        <f t="shared" si="0"/>
        <v>24.7</v>
      </c>
      <c r="O8" s="82">
        <f>IF(N8="","",N8+O7)</f>
        <v>76.600000000000009</v>
      </c>
      <c r="R8" s="53">
        <f>O29+0.000007</f>
        <v>124.000007</v>
      </c>
      <c r="S8" s="53" t="str">
        <f>B26</f>
        <v>Anthony Mier</v>
      </c>
      <c r="T8" s="53" t="str">
        <f>C26</f>
        <v>WLRC</v>
      </c>
    </row>
    <row r="9" spans="1:20" x14ac:dyDescent="0.25">
      <c r="A9" s="103"/>
      <c r="B9" s="110"/>
      <c r="C9" s="112"/>
      <c r="D9" s="80">
        <v>4</v>
      </c>
      <c r="E9" s="114" t="s">
        <v>132</v>
      </c>
      <c r="F9" s="82" t="str">
        <f>IF($E9="","",IF(ISNA(VLOOKUP($E9,DD!$A$2:$C$150,2,0)),"NO SUCH DIVE",VLOOKUP($E9,DD!$A$2:$C$150,2,0)))</f>
        <v>Back somersault layout</v>
      </c>
      <c r="G9" s="80">
        <f>IF($E9="","",IF(ISNA(VLOOKUP($E9,DD!$A$2:$C$150,3,0)),"",VLOOKUP($E9,DD!$A$2:$C$150,3,0)))</f>
        <v>1.7</v>
      </c>
      <c r="H9" s="116">
        <v>5</v>
      </c>
      <c r="I9" s="116">
        <v>6</v>
      </c>
      <c r="J9" s="116">
        <v>6.5</v>
      </c>
      <c r="K9" s="116">
        <v>6.5</v>
      </c>
      <c r="L9" s="116">
        <v>6.5</v>
      </c>
      <c r="M9" s="81"/>
      <c r="N9" s="82">
        <f t="shared" si="0"/>
        <v>32.299999999999997</v>
      </c>
      <c r="O9" s="85">
        <f>IF(N9="",0,N9+O8)</f>
        <v>108.9</v>
      </c>
      <c r="R9" s="53">
        <f>O33+0.000008</f>
        <v>84.450007999999983</v>
      </c>
      <c r="S9" s="53" t="str">
        <f>B30</f>
        <v>Nicolas Charland</v>
      </c>
      <c r="T9" s="53" t="str">
        <f>C30</f>
        <v>HCP</v>
      </c>
    </row>
    <row r="10" spans="1:20" x14ac:dyDescent="0.25">
      <c r="A10" s="97">
        <v>3</v>
      </c>
      <c r="B10" s="117"/>
      <c r="C10" s="113"/>
      <c r="D10" s="46">
        <v>1</v>
      </c>
      <c r="E10" s="113"/>
      <c r="F10" s="45" t="str">
        <f>IF($E10="","",IF(ISNA(VLOOKUP($E10,DD!$A$2:$C$150,2,0)),"NO SUCH DIVE",VLOOKUP($E10,DD!$A$2:$C$150,2,0)))</f>
        <v/>
      </c>
      <c r="G10" s="51" t="str">
        <f>IF($E10="","",IF(ISNA(VLOOKUP($E10,DD!$A$2:$C$150,3,0)),"",VLOOKUP($E10,DD!$A$2:$C$150,3,0)))</f>
        <v/>
      </c>
      <c r="H10" s="115"/>
      <c r="I10" s="115"/>
      <c r="J10" s="115"/>
      <c r="K10" s="115"/>
      <c r="L10" s="115"/>
      <c r="M10" s="50"/>
      <c r="N10" s="45" t="str">
        <f t="shared" si="0"/>
        <v/>
      </c>
      <c r="O10" s="45" t="str">
        <f>IF(N10="","",N10)</f>
        <v/>
      </c>
      <c r="R10" s="53">
        <f>O37+0.000009</f>
        <v>58.600009</v>
      </c>
      <c r="S10" s="53" t="str">
        <f>B34</f>
        <v>Maurizio Mercuri</v>
      </c>
      <c r="T10" s="53" t="str">
        <f>C34</f>
        <v>WLRC</v>
      </c>
    </row>
    <row r="11" spans="1:20" x14ac:dyDescent="0.25">
      <c r="A11" s="97"/>
      <c r="B11" s="117"/>
      <c r="C11" s="113"/>
      <c r="D11" s="46">
        <v>2</v>
      </c>
      <c r="E11" s="113"/>
      <c r="F11" s="45" t="str">
        <f>IF($E11="","",IF(ISNA(VLOOKUP($E11,DD!$A$2:$C$150,2,0)),"NO SUCH DIVE",VLOOKUP($E11,DD!$A$2:$C$150,2,0)))</f>
        <v/>
      </c>
      <c r="G11" s="51" t="str">
        <f>IF($E11="","",IF(ISNA(VLOOKUP($E11,DD!$A$2:$C$150,3,0)),"",VLOOKUP($E11,DD!$A$2:$C$150,3,0)))</f>
        <v/>
      </c>
      <c r="H11" s="115"/>
      <c r="I11" s="115"/>
      <c r="J11" s="115"/>
      <c r="K11" s="115"/>
      <c r="L11" s="115"/>
      <c r="M11" s="50"/>
      <c r="N11" s="45" t="str">
        <f t="shared" si="0"/>
        <v/>
      </c>
      <c r="O11" s="45" t="str">
        <f>IF(N11="","",N11+O10)</f>
        <v/>
      </c>
      <c r="R11" s="53">
        <f>O41+0.00001</f>
        <v>84.450009999999992</v>
      </c>
      <c r="S11" s="53" t="str">
        <f>B38</f>
        <v xml:space="preserve">Evan Bibby </v>
      </c>
      <c r="T11" s="53" t="str">
        <f>C38</f>
        <v>HCP</v>
      </c>
    </row>
    <row r="12" spans="1:20" x14ac:dyDescent="0.25">
      <c r="A12" s="97"/>
      <c r="B12" s="117"/>
      <c r="C12" s="113"/>
      <c r="D12" s="46">
        <v>3</v>
      </c>
      <c r="E12" s="113"/>
      <c r="F12" s="45" t="str">
        <f>IF($E12="","",IF(ISNA(VLOOKUP($E12,DD!$A$2:$C$150,2,0)),"NO SUCH DIVE",VLOOKUP($E12,DD!$A$2:$C$150,2,0)))</f>
        <v/>
      </c>
      <c r="G12" s="46" t="str">
        <f>IF($E12="","",IF(ISNA(VLOOKUP($E12,DD!$A$2:$C$150,3,0)),"",VLOOKUP($E12,DD!$A$2:$C$150,3,0)))</f>
        <v/>
      </c>
      <c r="H12" s="115"/>
      <c r="I12" s="115"/>
      <c r="J12" s="115"/>
      <c r="K12" s="115"/>
      <c r="L12" s="115"/>
      <c r="M12" s="50"/>
      <c r="N12" s="45" t="str">
        <f t="shared" si="0"/>
        <v/>
      </c>
      <c r="O12" s="45" t="str">
        <f>IF(N12="","",N12+O11)</f>
        <v/>
      </c>
      <c r="R12" s="53">
        <f>O45+0.000011</f>
        <v>1.1E-5</v>
      </c>
      <c r="S12" s="53">
        <f>B42</f>
        <v>0</v>
      </c>
      <c r="T12" s="53">
        <f>C42</f>
        <v>0</v>
      </c>
    </row>
    <row r="13" spans="1:20" x14ac:dyDescent="0.25">
      <c r="A13" s="97"/>
      <c r="B13" s="117"/>
      <c r="C13" s="113"/>
      <c r="D13" s="46">
        <v>4</v>
      </c>
      <c r="E13" s="113"/>
      <c r="F13" s="45" t="str">
        <f>IF($E13="","",IF(ISNA(VLOOKUP($E13,DD!$A$2:$C$150,2,0)),"NO SUCH DIVE",VLOOKUP($E13,DD!$A$2:$C$150,2,0)))</f>
        <v/>
      </c>
      <c r="G13" s="46" t="str">
        <f>IF($E13="","",IF(ISNA(VLOOKUP($E13,DD!$A$2:$C$150,3,0)),"",VLOOKUP($E13,DD!$A$2:$C$150,3,0)))</f>
        <v/>
      </c>
      <c r="H13" s="115"/>
      <c r="I13" s="115"/>
      <c r="J13" s="115"/>
      <c r="K13" s="115"/>
      <c r="L13" s="115"/>
      <c r="M13" s="50"/>
      <c r="N13" s="45" t="str">
        <f t="shared" si="0"/>
        <v/>
      </c>
      <c r="O13" s="54">
        <f>IF(N13="",0,N13+O12)</f>
        <v>0</v>
      </c>
      <c r="R13" s="53">
        <f>O49+0.000012</f>
        <v>1.2E-5</v>
      </c>
      <c r="S13" s="53">
        <f>B46</f>
        <v>0</v>
      </c>
      <c r="T13" s="53">
        <f>C46</f>
        <v>0</v>
      </c>
    </row>
    <row r="14" spans="1:20" x14ac:dyDescent="0.25">
      <c r="A14" s="103">
        <v>4</v>
      </c>
      <c r="B14" s="110" t="s">
        <v>429</v>
      </c>
      <c r="C14" s="112" t="s">
        <v>231</v>
      </c>
      <c r="D14" s="80">
        <v>1</v>
      </c>
      <c r="E14" s="114" t="s">
        <v>118</v>
      </c>
      <c r="F14" s="82" t="str">
        <f>IF($E14="","",IF(ISNA(VLOOKUP($E14,DD!$A$2:$C$150,2,0)),"NO SUCH DIVE",VLOOKUP($E14,DD!$A$2:$C$150,2,0)))</f>
        <v>Front dive tuck</v>
      </c>
      <c r="G14" s="83">
        <f>IF($E14="","",IF(ISNA(VLOOKUP($E14,DD!$A$2:$C$150,3,0)),"",VLOOKUP($E14,DD!$A$2:$C$150,3,0)))</f>
        <v>1.3</v>
      </c>
      <c r="H14" s="116">
        <v>7</v>
      </c>
      <c r="I14" s="116">
        <v>5</v>
      </c>
      <c r="J14" s="116">
        <v>6</v>
      </c>
      <c r="K14" s="116">
        <v>7.5</v>
      </c>
      <c r="L14" s="116">
        <v>7</v>
      </c>
      <c r="M14" s="81"/>
      <c r="N14" s="82">
        <f t="shared" si="0"/>
        <v>26</v>
      </c>
      <c r="O14" s="82">
        <f>IF(N14="","",N14)</f>
        <v>26</v>
      </c>
      <c r="R14" s="53">
        <f>O53+0.000013</f>
        <v>1.2999999999999999E-5</v>
      </c>
      <c r="S14" s="53">
        <f>B50</f>
        <v>0</v>
      </c>
      <c r="T14" s="53">
        <f>C50</f>
        <v>0</v>
      </c>
    </row>
    <row r="15" spans="1:20" x14ac:dyDescent="0.25">
      <c r="A15" s="103"/>
      <c r="B15" s="110"/>
      <c r="C15" s="112"/>
      <c r="D15" s="80">
        <v>2</v>
      </c>
      <c r="E15" s="114" t="s">
        <v>266</v>
      </c>
      <c r="F15" s="82" t="str">
        <f>IF($E15="","",IF(ISNA(VLOOKUP($E15,DD!$A$2:$C$150,2,0)),"NO SUCH DIVE",VLOOKUP($E15,DD!$A$2:$C$150,2,0)))</f>
        <v>Reverse somersault tuck</v>
      </c>
      <c r="G15" s="83">
        <f>IF($E15="","",IF(ISNA(VLOOKUP($E15,DD!$A$2:$C$150,3,0)),"",VLOOKUP($E15,DD!$A$2:$C$150,3,0)))</f>
        <v>1.6</v>
      </c>
      <c r="H15" s="116">
        <v>5.5</v>
      </c>
      <c r="I15" s="116">
        <v>5.5</v>
      </c>
      <c r="J15" s="116">
        <v>4.5</v>
      </c>
      <c r="K15" s="116">
        <v>6</v>
      </c>
      <c r="L15" s="116">
        <v>5.5</v>
      </c>
      <c r="M15" s="81"/>
      <c r="N15" s="82">
        <f t="shared" si="0"/>
        <v>26.400000000000002</v>
      </c>
      <c r="O15" s="82">
        <f>IF(N15="","",N15+O14)</f>
        <v>52.400000000000006</v>
      </c>
      <c r="R15" s="53">
        <f>O57+0.000014</f>
        <v>1.4E-5</v>
      </c>
      <c r="S15" s="53">
        <f>B54</f>
        <v>0</v>
      </c>
      <c r="T15" s="53">
        <f>C54</f>
        <v>0</v>
      </c>
    </row>
    <row r="16" spans="1:20" x14ac:dyDescent="0.25">
      <c r="A16" s="103"/>
      <c r="B16" s="110"/>
      <c r="C16" s="112"/>
      <c r="D16" s="80">
        <v>3</v>
      </c>
      <c r="E16" s="114" t="s">
        <v>132</v>
      </c>
      <c r="F16" s="82" t="str">
        <f>IF($E16="","",IF(ISNA(VLOOKUP($E16,DD!$A$2:$C$150,2,0)),"NO SUCH DIVE",VLOOKUP($E16,DD!$A$2:$C$150,2,0)))</f>
        <v>Back somersault layout</v>
      </c>
      <c r="G16" s="80">
        <f>IF($E16="","",IF(ISNA(VLOOKUP($E16,DD!$A$2:$C$150,3,0)),"",VLOOKUP($E16,DD!$A$2:$C$150,3,0)))</f>
        <v>1.7</v>
      </c>
      <c r="H16" s="116">
        <v>6</v>
      </c>
      <c r="I16" s="116">
        <v>5.5</v>
      </c>
      <c r="J16" s="116">
        <v>6.5</v>
      </c>
      <c r="K16" s="116">
        <v>6.5</v>
      </c>
      <c r="L16" s="116">
        <v>5.5</v>
      </c>
      <c r="M16" s="81"/>
      <c r="N16" s="82">
        <f t="shared" si="0"/>
        <v>30.599999999999998</v>
      </c>
      <c r="O16" s="82">
        <f>IF(N16="","",N16+O15)</f>
        <v>83</v>
      </c>
      <c r="R16" s="53">
        <f>O61+0.000015</f>
        <v>1.5E-5</v>
      </c>
      <c r="S16" s="53">
        <f>B58</f>
        <v>0</v>
      </c>
      <c r="T16" s="53">
        <f>C58</f>
        <v>0</v>
      </c>
    </row>
    <row r="17" spans="1:20" x14ac:dyDescent="0.25">
      <c r="A17" s="103"/>
      <c r="B17" s="110"/>
      <c r="C17" s="112"/>
      <c r="D17" s="80">
        <v>4</v>
      </c>
      <c r="E17" s="114" t="s">
        <v>206</v>
      </c>
      <c r="F17" s="82" t="str">
        <f>IF($E17="","",IF(ISNA(VLOOKUP($E17,DD!$A$2:$C$150,2,0)),"NO SUCH DIVE",VLOOKUP($E17,DD!$A$2:$C$150,2,0)))</f>
        <v>Front  1 ½ somersault tuck</v>
      </c>
      <c r="G17" s="80">
        <f>IF($E17="","",IF(ISNA(VLOOKUP($E17,DD!$A$2:$C$150,3,0)),"",VLOOKUP($E17,DD!$A$2:$C$150,3,0)))</f>
        <v>1.6</v>
      </c>
      <c r="H17" s="116">
        <v>6.5</v>
      </c>
      <c r="I17" s="116">
        <v>7.5</v>
      </c>
      <c r="J17" s="116">
        <v>7</v>
      </c>
      <c r="K17" s="116">
        <v>7</v>
      </c>
      <c r="L17" s="116">
        <v>7.5</v>
      </c>
      <c r="M17" s="81"/>
      <c r="N17" s="82">
        <f t="shared" si="0"/>
        <v>34.4</v>
      </c>
      <c r="O17" s="85">
        <f>IF(N17="",0,N17+O16)</f>
        <v>117.4</v>
      </c>
      <c r="R17" s="53">
        <f>O65+0.000016</f>
        <v>1.5999999999999999E-5</v>
      </c>
      <c r="S17" s="53">
        <f>B62</f>
        <v>0</v>
      </c>
      <c r="T17" s="53">
        <f>C62</f>
        <v>0</v>
      </c>
    </row>
    <row r="18" spans="1:20" x14ac:dyDescent="0.25">
      <c r="A18" s="97">
        <v>5</v>
      </c>
      <c r="B18" s="109"/>
      <c r="C18" s="111"/>
      <c r="D18" s="46">
        <v>1</v>
      </c>
      <c r="E18" s="113"/>
      <c r="F18" s="45" t="str">
        <f>IF($E18="","",IF(ISNA(VLOOKUP($E18,DD!$A$2:$C$150,2,0)),"NO SUCH DIVE",VLOOKUP($E18,DD!$A$2:$C$150,2,0)))</f>
        <v/>
      </c>
      <c r="G18" s="51" t="str">
        <f>IF($E18="","",IF(ISNA(VLOOKUP($E18,DD!$A$2:$C$150,3,0)),"",VLOOKUP($E18,DD!$A$2:$C$150,3,0)))</f>
        <v/>
      </c>
      <c r="H18" s="115"/>
      <c r="I18" s="115"/>
      <c r="J18" s="115"/>
      <c r="K18" s="115"/>
      <c r="L18" s="115"/>
      <c r="M18" s="50"/>
      <c r="N18" s="45" t="str">
        <f t="shared" si="0"/>
        <v/>
      </c>
      <c r="O18" s="45" t="str">
        <f>IF(N18="","",N18)</f>
        <v/>
      </c>
      <c r="R18" s="53">
        <f>O69+0.000017</f>
        <v>1.7E-5</v>
      </c>
      <c r="S18" s="53">
        <f>B66</f>
        <v>0</v>
      </c>
      <c r="T18" s="53">
        <f>C66</f>
        <v>0</v>
      </c>
    </row>
    <row r="19" spans="1:20" x14ac:dyDescent="0.25">
      <c r="A19" s="97"/>
      <c r="B19" s="109"/>
      <c r="C19" s="111"/>
      <c r="D19" s="46">
        <v>2</v>
      </c>
      <c r="E19" s="113"/>
      <c r="F19" s="45" t="str">
        <f>IF($E19="","",IF(ISNA(VLOOKUP($E19,DD!$A$2:$C$150,2,0)),"NO SUCH DIVE",VLOOKUP($E19,DD!$A$2:$C$150,2,0)))</f>
        <v/>
      </c>
      <c r="G19" s="51" t="str">
        <f>IF($E19="","",IF(ISNA(VLOOKUP($E19,DD!$A$2:$C$150,3,0)),"",VLOOKUP($E19,DD!$A$2:$C$150,3,0)))</f>
        <v/>
      </c>
      <c r="H19" s="115"/>
      <c r="I19" s="115"/>
      <c r="J19" s="115"/>
      <c r="K19" s="115"/>
      <c r="L19" s="115"/>
      <c r="M19" s="50"/>
      <c r="N19" s="45" t="str">
        <f t="shared" si="0"/>
        <v/>
      </c>
      <c r="O19" s="45" t="str">
        <f>IF(N19="","",N19+O18)</f>
        <v/>
      </c>
      <c r="R19" s="53">
        <f>O73+0.000018</f>
        <v>1.8E-5</v>
      </c>
      <c r="S19" s="53">
        <f>B70</f>
        <v>0</v>
      </c>
      <c r="T19" s="53">
        <f>C70</f>
        <v>0</v>
      </c>
    </row>
    <row r="20" spans="1:20" x14ac:dyDescent="0.25">
      <c r="A20" s="97"/>
      <c r="B20" s="109"/>
      <c r="C20" s="111"/>
      <c r="D20" s="46">
        <v>3</v>
      </c>
      <c r="E20" s="113"/>
      <c r="F20" s="45" t="str">
        <f>IF($E20="","",IF(ISNA(VLOOKUP($E20,DD!$A$2:$C$150,2,0)),"NO SUCH DIVE",VLOOKUP($E20,DD!$A$2:$C$150,2,0)))</f>
        <v/>
      </c>
      <c r="G20" s="46" t="str">
        <f>IF($E20="","",IF(ISNA(VLOOKUP($E20,DD!$A$2:$C$150,3,0)),"",VLOOKUP($E20,DD!$A$2:$C$150,3,0)))</f>
        <v/>
      </c>
      <c r="H20" s="115"/>
      <c r="I20" s="115"/>
      <c r="J20" s="115"/>
      <c r="K20" s="115"/>
      <c r="L20" s="115"/>
      <c r="M20" s="50"/>
      <c r="N20" s="45" t="str">
        <f t="shared" si="0"/>
        <v/>
      </c>
      <c r="O20" s="45" t="str">
        <f>IF(N20="","",N20+O19)</f>
        <v/>
      </c>
      <c r="R20" s="53">
        <f>O77+0.000019</f>
        <v>1.9000000000000001E-5</v>
      </c>
      <c r="S20" s="53">
        <f>B74</f>
        <v>0</v>
      </c>
      <c r="T20" s="53">
        <f>C74</f>
        <v>0</v>
      </c>
    </row>
    <row r="21" spans="1:20" x14ac:dyDescent="0.25">
      <c r="A21" s="97"/>
      <c r="B21" s="109"/>
      <c r="C21" s="111"/>
      <c r="D21" s="46">
        <v>4</v>
      </c>
      <c r="E21" s="113"/>
      <c r="F21" s="45" t="str">
        <f>IF($E21="","",IF(ISNA(VLOOKUP($E21,DD!$A$2:$C$150,2,0)),"NO SUCH DIVE",VLOOKUP($E21,DD!$A$2:$C$150,2,0)))</f>
        <v/>
      </c>
      <c r="G21" s="46" t="str">
        <f>IF($E21="","",IF(ISNA(VLOOKUP($E21,DD!$A$2:$C$150,3,0)),"",VLOOKUP($E21,DD!$A$2:$C$150,3,0)))</f>
        <v/>
      </c>
      <c r="H21" s="115"/>
      <c r="I21" s="115"/>
      <c r="J21" s="115"/>
      <c r="K21" s="115"/>
      <c r="L21" s="115"/>
      <c r="M21" s="50"/>
      <c r="N21" s="45" t="str">
        <f t="shared" si="0"/>
        <v/>
      </c>
      <c r="O21" s="54">
        <f>IF(N21="",0,N21+O20)</f>
        <v>0</v>
      </c>
      <c r="R21" s="53">
        <f>O81+0.00002</f>
        <v>2.0000000000000002E-5</v>
      </c>
      <c r="S21" s="53">
        <f>B78</f>
        <v>0</v>
      </c>
      <c r="T21" s="53">
        <f>C78</f>
        <v>0</v>
      </c>
    </row>
    <row r="22" spans="1:20" x14ac:dyDescent="0.25">
      <c r="A22" s="103">
        <v>6</v>
      </c>
      <c r="B22" s="110" t="s">
        <v>430</v>
      </c>
      <c r="C22" s="112" t="s">
        <v>4</v>
      </c>
      <c r="D22" s="80">
        <v>1</v>
      </c>
      <c r="E22" s="114" t="s">
        <v>123</v>
      </c>
      <c r="F22" s="82" t="str">
        <f>IF($E22="","",IF(ISNA(VLOOKUP($E22,DD!$A$2:$C$150,2,0)),"NO SUCH DIVE",VLOOKUP($E22,DD!$A$2:$C$150,2,0)))</f>
        <v>Inward dive tuck</v>
      </c>
      <c r="G22" s="83">
        <f>IF($E22="","",IF(ISNA(VLOOKUP($E22,DD!$A$2:$C$150,3,0)),"",VLOOKUP($E22,DD!$A$2:$C$150,3,0)))</f>
        <v>1.5</v>
      </c>
      <c r="H22" s="116">
        <v>5</v>
      </c>
      <c r="I22" s="116">
        <v>5</v>
      </c>
      <c r="J22" s="116">
        <v>5.5</v>
      </c>
      <c r="K22" s="116">
        <v>5</v>
      </c>
      <c r="L22" s="116">
        <v>5.5</v>
      </c>
      <c r="M22" s="81"/>
      <c r="N22" s="82">
        <f t="shared" si="0"/>
        <v>23.25</v>
      </c>
      <c r="O22" s="82">
        <f>IF(N22="","",N22)</f>
        <v>23.25</v>
      </c>
      <c r="R22" s="53">
        <f>O85+0.000021</f>
        <v>2.0999999999999999E-5</v>
      </c>
      <c r="S22" s="53">
        <f>B82</f>
        <v>0</v>
      </c>
      <c r="T22" s="53">
        <f>C82</f>
        <v>0</v>
      </c>
    </row>
    <row r="23" spans="1:20" x14ac:dyDescent="0.25">
      <c r="A23" s="103"/>
      <c r="B23" s="110"/>
      <c r="C23" s="112"/>
      <c r="D23" s="80">
        <v>2</v>
      </c>
      <c r="E23" s="114" t="s">
        <v>118</v>
      </c>
      <c r="F23" s="82" t="str">
        <f>IF($E23="","",IF(ISNA(VLOOKUP($E23,DD!$A$2:$C$150,2,0)),"NO SUCH DIVE",VLOOKUP($E23,DD!$A$2:$C$150,2,0)))</f>
        <v>Front dive tuck</v>
      </c>
      <c r="G23" s="83">
        <f>IF($E23="","",IF(ISNA(VLOOKUP($E23,DD!$A$2:$C$150,3,0)),"",VLOOKUP($E23,DD!$A$2:$C$150,3,0)))</f>
        <v>1.3</v>
      </c>
      <c r="H23" s="116">
        <v>7.5</v>
      </c>
      <c r="I23" s="116">
        <v>7</v>
      </c>
      <c r="J23" s="116">
        <v>7.5</v>
      </c>
      <c r="K23" s="116">
        <v>7.5</v>
      </c>
      <c r="L23" s="116">
        <v>7</v>
      </c>
      <c r="M23" s="81"/>
      <c r="N23" s="82">
        <f t="shared" si="0"/>
        <v>28.6</v>
      </c>
      <c r="O23" s="82">
        <f>IF(N23="","",N23+O22)</f>
        <v>51.85</v>
      </c>
      <c r="R23" s="53">
        <f>O89+0.000022</f>
        <v>2.1999999999999999E-5</v>
      </c>
      <c r="S23" s="53">
        <f>B86</f>
        <v>0</v>
      </c>
      <c r="T23" s="53">
        <f>C86</f>
        <v>0</v>
      </c>
    </row>
    <row r="24" spans="1:20" x14ac:dyDescent="0.25">
      <c r="A24" s="103"/>
      <c r="B24" s="110"/>
      <c r="C24" s="112"/>
      <c r="D24" s="80">
        <v>3</v>
      </c>
      <c r="E24" s="114" t="s">
        <v>260</v>
      </c>
      <c r="F24" s="82" t="str">
        <f>IF($E24="","",IF(ISNA(VLOOKUP($E24,DD!$A$2:$C$150,2,0)),"NO SUCH DIVE",VLOOKUP($E24,DD!$A$2:$C$150,2,0)))</f>
        <v>Reverse dive tuck</v>
      </c>
      <c r="G24" s="80">
        <f>IF($E24="","",IF(ISNA(VLOOKUP($E24,DD!$A$2:$C$150,3,0)),"",VLOOKUP($E24,DD!$A$2:$C$150,3,0)))</f>
        <v>1.7</v>
      </c>
      <c r="H24" s="116">
        <v>4.5</v>
      </c>
      <c r="I24" s="116">
        <v>5.5</v>
      </c>
      <c r="J24" s="116">
        <v>5.5</v>
      </c>
      <c r="K24" s="116">
        <v>5.5</v>
      </c>
      <c r="L24" s="116">
        <v>5.5</v>
      </c>
      <c r="M24" s="81"/>
      <c r="N24" s="82">
        <f t="shared" si="0"/>
        <v>28.05</v>
      </c>
      <c r="O24" s="82">
        <f>IF(N24="","",N24+O23)</f>
        <v>79.900000000000006</v>
      </c>
      <c r="R24" s="53">
        <f>O93+0.000023</f>
        <v>2.3E-5</v>
      </c>
      <c r="S24" s="53">
        <f>B90</f>
        <v>0</v>
      </c>
      <c r="T24" s="53">
        <f>C90</f>
        <v>0</v>
      </c>
    </row>
    <row r="25" spans="1:20" x14ac:dyDescent="0.25">
      <c r="A25" s="103"/>
      <c r="B25" s="110"/>
      <c r="C25" s="112"/>
      <c r="D25" s="80">
        <v>4</v>
      </c>
      <c r="E25" s="114" t="s">
        <v>158</v>
      </c>
      <c r="F25" s="82" t="str">
        <f>IF($E25="","",IF(ISNA(VLOOKUP($E25,DD!$A$2:$C$150,2,0)),"NO SUCH DIVE",VLOOKUP($E25,DD!$A$2:$C$150,2,0)))</f>
        <v>Inward somersault tuck</v>
      </c>
      <c r="G25" s="80">
        <f>IF($E25="","",IF(ISNA(VLOOKUP($E25,DD!$A$2:$C$150,3,0)),"",VLOOKUP($E25,DD!$A$2:$C$150,3,0)))</f>
        <v>1.6</v>
      </c>
      <c r="H25" s="116">
        <v>7.5</v>
      </c>
      <c r="I25" s="116">
        <v>7</v>
      </c>
      <c r="J25" s="116">
        <v>7.5</v>
      </c>
      <c r="K25" s="116">
        <v>8</v>
      </c>
      <c r="L25" s="116">
        <v>7.5</v>
      </c>
      <c r="M25" s="81"/>
      <c r="N25" s="82">
        <f t="shared" si="0"/>
        <v>36</v>
      </c>
      <c r="O25" s="85">
        <f>IF(N25="",0,N25+O24)</f>
        <v>115.9</v>
      </c>
      <c r="R25" s="53">
        <f>O97+0.000024</f>
        <v>2.4000000000000001E-5</v>
      </c>
      <c r="S25" s="53">
        <f>B94</f>
        <v>0</v>
      </c>
      <c r="T25" s="53">
        <f>C94</f>
        <v>0</v>
      </c>
    </row>
    <row r="26" spans="1:20" x14ac:dyDescent="0.25">
      <c r="A26" s="97">
        <v>7</v>
      </c>
      <c r="B26" s="109" t="s">
        <v>431</v>
      </c>
      <c r="C26" s="111" t="s">
        <v>88</v>
      </c>
      <c r="D26" s="46">
        <v>1</v>
      </c>
      <c r="E26" s="113" t="s">
        <v>312</v>
      </c>
      <c r="F26" s="45" t="str">
        <f>IF($E26="","",IF(ISNA(VLOOKUP($E26,DD!$A$2:$C$150,2,0)),"NO SUCH DIVE",VLOOKUP($E26,DD!$A$2:$C$150,2,0)))</f>
        <v>Front somersault ½ twist free</v>
      </c>
      <c r="G26" s="51">
        <f>IF($E26="","",IF(ISNA(VLOOKUP($E26,DD!$A$2:$C$150,3,0)),"",VLOOKUP($E26,DD!$A$2:$C$150,3,0)))</f>
        <v>1.7</v>
      </c>
      <c r="H26" s="115">
        <v>5.5</v>
      </c>
      <c r="I26" s="115">
        <v>5.5</v>
      </c>
      <c r="J26" s="115">
        <v>5.5</v>
      </c>
      <c r="K26" s="115">
        <v>5</v>
      </c>
      <c r="L26" s="115">
        <v>6</v>
      </c>
      <c r="M26" s="50"/>
      <c r="N26" s="45">
        <f t="shared" si="0"/>
        <v>28.05</v>
      </c>
      <c r="O26" s="45">
        <f>IF(N26="","",N26)</f>
        <v>28.05</v>
      </c>
      <c r="R26" s="53">
        <v>0</v>
      </c>
    </row>
    <row r="27" spans="1:20" x14ac:dyDescent="0.25">
      <c r="A27" s="97"/>
      <c r="B27" s="109"/>
      <c r="C27" s="111"/>
      <c r="D27" s="46">
        <v>2</v>
      </c>
      <c r="E27" s="113" t="s">
        <v>206</v>
      </c>
      <c r="F27" s="45" t="str">
        <f>IF($E27="","",IF(ISNA(VLOOKUP($E27,DD!$A$2:$C$150,2,0)),"NO SUCH DIVE",VLOOKUP($E27,DD!$A$2:$C$150,2,0)))</f>
        <v>Front  1 ½ somersault tuck</v>
      </c>
      <c r="G27" s="51">
        <f>IF($E27="","",IF(ISNA(VLOOKUP($E27,DD!$A$2:$C$150,3,0)),"",VLOOKUP($E27,DD!$A$2:$C$150,3,0)))</f>
        <v>1.6</v>
      </c>
      <c r="H27" s="115">
        <v>5.5</v>
      </c>
      <c r="I27" s="115">
        <v>6.5</v>
      </c>
      <c r="J27" s="115">
        <v>6</v>
      </c>
      <c r="K27" s="115">
        <v>5.5</v>
      </c>
      <c r="L27" s="115">
        <v>6.5</v>
      </c>
      <c r="M27" s="50"/>
      <c r="N27" s="45">
        <f t="shared" si="0"/>
        <v>28.8</v>
      </c>
      <c r="O27" s="45">
        <f>IF(N27="","",N27+O26)</f>
        <v>56.85</v>
      </c>
    </row>
    <row r="28" spans="1:20" x14ac:dyDescent="0.25">
      <c r="A28" s="97"/>
      <c r="B28" s="109"/>
      <c r="C28" s="111"/>
      <c r="D28" s="46">
        <v>3</v>
      </c>
      <c r="E28" s="113" t="s">
        <v>132</v>
      </c>
      <c r="F28" s="45" t="str">
        <f>IF($E28="","",IF(ISNA(VLOOKUP($E28,DD!$A$2:$C$150,2,0)),"NO SUCH DIVE",VLOOKUP($E28,DD!$A$2:$C$150,2,0)))</f>
        <v>Back somersault layout</v>
      </c>
      <c r="G28" s="46">
        <f>IF($E28="","",IF(ISNA(VLOOKUP($E28,DD!$A$2:$C$150,3,0)),"",VLOOKUP($E28,DD!$A$2:$C$150,3,0)))</f>
        <v>1.7</v>
      </c>
      <c r="H28" s="115">
        <v>6</v>
      </c>
      <c r="I28" s="115">
        <v>6.5</v>
      </c>
      <c r="J28" s="115">
        <v>7.5</v>
      </c>
      <c r="K28" s="115">
        <v>7</v>
      </c>
      <c r="L28" s="115">
        <v>6.5</v>
      </c>
      <c r="M28" s="50"/>
      <c r="N28" s="45">
        <f t="shared" si="0"/>
        <v>34</v>
      </c>
      <c r="O28" s="45">
        <f>IF(N28="","",N28+O27)</f>
        <v>90.85</v>
      </c>
    </row>
    <row r="29" spans="1:20" x14ac:dyDescent="0.25">
      <c r="A29" s="97"/>
      <c r="B29" s="109"/>
      <c r="C29" s="111"/>
      <c r="D29" s="46">
        <v>4</v>
      </c>
      <c r="E29" s="113" t="s">
        <v>175</v>
      </c>
      <c r="F29" s="45" t="str">
        <f>IF($E29="","",IF(ISNA(VLOOKUP($E29,DD!$A$2:$C$150,2,0)),"NO SUCH DIVE",VLOOKUP($E29,DD!$A$2:$C$150,2,0)))</f>
        <v>Back somersault ½ twist free</v>
      </c>
      <c r="G29" s="46">
        <f>IF($E29="","",IF(ISNA(VLOOKUP($E29,DD!$A$2:$C$150,3,0)),"",VLOOKUP($E29,DD!$A$2:$C$150,3,0)))</f>
        <v>1.7</v>
      </c>
      <c r="H29" s="115">
        <v>6.5</v>
      </c>
      <c r="I29" s="115">
        <v>6.5</v>
      </c>
      <c r="J29" s="115">
        <v>6</v>
      </c>
      <c r="K29" s="115">
        <v>7</v>
      </c>
      <c r="L29" s="115">
        <v>6.5</v>
      </c>
      <c r="M29" s="50"/>
      <c r="N29" s="45">
        <f t="shared" si="0"/>
        <v>33.15</v>
      </c>
      <c r="O29" s="54">
        <f>IF(N29="",0,N29+O28)</f>
        <v>124</v>
      </c>
    </row>
    <row r="30" spans="1:20" x14ac:dyDescent="0.25">
      <c r="A30" s="103">
        <v>8</v>
      </c>
      <c r="B30" s="110" t="s">
        <v>432</v>
      </c>
      <c r="C30" s="112" t="s">
        <v>49</v>
      </c>
      <c r="D30" s="80">
        <v>1</v>
      </c>
      <c r="E30" s="114" t="s">
        <v>116</v>
      </c>
      <c r="F30" s="82" t="str">
        <f>IF($E30="","",IF(ISNA(VLOOKUP($E30,DD!$A$2:$C$150,2,0)),"NO SUCH DIVE",VLOOKUP($E30,DD!$A$2:$C$150,2,0)))</f>
        <v>Front dive layout</v>
      </c>
      <c r="G30" s="83">
        <f>IF($E30="","",IF(ISNA(VLOOKUP($E30,DD!$A$2:$C$150,3,0)),"",VLOOKUP($E30,DD!$A$2:$C$150,3,0)))</f>
        <v>1.3</v>
      </c>
      <c r="H30" s="116">
        <v>5</v>
      </c>
      <c r="I30" s="116">
        <v>6</v>
      </c>
      <c r="J30" s="116">
        <v>5.5</v>
      </c>
      <c r="K30" s="116">
        <v>5</v>
      </c>
      <c r="L30" s="116">
        <v>6</v>
      </c>
      <c r="M30" s="81"/>
      <c r="N30" s="82">
        <f t="shared" si="0"/>
        <v>21.45</v>
      </c>
      <c r="O30" s="82">
        <f>IF(N30="","",N30)</f>
        <v>21.45</v>
      </c>
    </row>
    <row r="31" spans="1:20" x14ac:dyDescent="0.25">
      <c r="A31" s="103"/>
      <c r="B31" s="110"/>
      <c r="C31" s="112"/>
      <c r="D31" s="80">
        <v>2</v>
      </c>
      <c r="E31" s="114" t="s">
        <v>115</v>
      </c>
      <c r="F31" s="82" t="str">
        <f>IF($E31="","",IF(ISNA(VLOOKUP($E31,DD!$A$2:$C$150,2,0)),"NO SUCH DIVE",VLOOKUP($E31,DD!$A$2:$C$150,2,0)))</f>
        <v>Back dive layout</v>
      </c>
      <c r="G31" s="83">
        <f>IF($E31="","",IF(ISNA(VLOOKUP($E31,DD!$A$2:$C$150,3,0)),"",VLOOKUP($E31,DD!$A$2:$C$150,3,0)))</f>
        <v>1.4</v>
      </c>
      <c r="H31" s="116">
        <v>6</v>
      </c>
      <c r="I31" s="116">
        <v>5.5</v>
      </c>
      <c r="J31" s="116">
        <v>5.5</v>
      </c>
      <c r="K31" s="116">
        <v>6</v>
      </c>
      <c r="L31" s="116">
        <v>6</v>
      </c>
      <c r="M31" s="81"/>
      <c r="N31" s="82">
        <f t="shared" si="0"/>
        <v>24.5</v>
      </c>
      <c r="O31" s="82">
        <f>IF(N31="","",N31+O30)</f>
        <v>45.95</v>
      </c>
    </row>
    <row r="32" spans="1:20" x14ac:dyDescent="0.25">
      <c r="A32" s="103"/>
      <c r="B32" s="110"/>
      <c r="C32" s="112"/>
      <c r="D32" s="80">
        <v>3</v>
      </c>
      <c r="E32" s="114" t="s">
        <v>133</v>
      </c>
      <c r="F32" s="82" t="str">
        <f>IF($E32="","",IF(ISNA(VLOOKUP($E32,DD!$A$2:$C$150,2,0)),"NO SUCH DIVE",VLOOKUP($E32,DD!$A$2:$C$150,2,0)))</f>
        <v>Front somersault tuck</v>
      </c>
      <c r="G32" s="80">
        <f>IF($E32="","",IF(ISNA(VLOOKUP($E32,DD!$A$2:$C$150,3,0)),"",VLOOKUP($E32,DD!$A$2:$C$150,3,0)))</f>
        <v>1.4</v>
      </c>
      <c r="H32" s="116">
        <v>4.5</v>
      </c>
      <c r="I32" s="116">
        <v>4.5</v>
      </c>
      <c r="J32" s="116">
        <v>4.5</v>
      </c>
      <c r="K32" s="116">
        <v>4.5</v>
      </c>
      <c r="L32" s="116">
        <v>4.5</v>
      </c>
      <c r="M32" s="81"/>
      <c r="N32" s="82">
        <f t="shared" si="0"/>
        <v>18.899999999999999</v>
      </c>
      <c r="O32" s="82">
        <f>IF(N32="","",N32+O31)</f>
        <v>64.849999999999994</v>
      </c>
    </row>
    <row r="33" spans="1:15" x14ac:dyDescent="0.25">
      <c r="A33" s="103"/>
      <c r="B33" s="110"/>
      <c r="C33" s="112"/>
      <c r="D33" s="80">
        <v>4</v>
      </c>
      <c r="E33" s="114" t="s">
        <v>120</v>
      </c>
      <c r="F33" s="82" t="str">
        <f>IF($E33="","",IF(ISNA(VLOOKUP($E33,DD!$A$2:$C$150,2,0)),"NO SUCH DIVE",VLOOKUP($E33,DD!$A$2:$C$150,2,0)))</f>
        <v>Back dive ½ twist layout</v>
      </c>
      <c r="G33" s="80">
        <f>IF($E33="","",IF(ISNA(VLOOKUP($E33,DD!$A$2:$C$150,3,0)),"",VLOOKUP($E33,DD!$A$2:$C$150,3,0)))</f>
        <v>1.4</v>
      </c>
      <c r="H33" s="116">
        <v>4</v>
      </c>
      <c r="I33" s="116">
        <v>4.5</v>
      </c>
      <c r="J33" s="116">
        <v>5</v>
      </c>
      <c r="K33" s="116">
        <v>4.5</v>
      </c>
      <c r="L33" s="116">
        <v>5</v>
      </c>
      <c r="M33" s="81"/>
      <c r="N33" s="82">
        <f t="shared" si="0"/>
        <v>19.599999999999998</v>
      </c>
      <c r="O33" s="85">
        <f>IF(N33="",0,N33+O32)</f>
        <v>84.449999999999989</v>
      </c>
    </row>
    <row r="34" spans="1:15" x14ac:dyDescent="0.25">
      <c r="A34" s="97">
        <v>9</v>
      </c>
      <c r="B34" s="109" t="s">
        <v>433</v>
      </c>
      <c r="C34" s="111" t="s">
        <v>88</v>
      </c>
      <c r="D34" s="46">
        <v>1</v>
      </c>
      <c r="E34" s="113" t="s">
        <v>133</v>
      </c>
      <c r="F34" s="45" t="str">
        <f>IF($E34="","",IF(ISNA(VLOOKUP($E34,DD!$A$2:$C$150,2,0)),"NO SUCH DIVE",VLOOKUP($E34,DD!$A$2:$C$150,2,0)))</f>
        <v>Front somersault tuck</v>
      </c>
      <c r="G34" s="51">
        <f>IF($E34="","",IF(ISNA(VLOOKUP($E34,DD!$A$2:$C$150,3,0)),"",VLOOKUP($E34,DD!$A$2:$C$150,3,0)))</f>
        <v>1.4</v>
      </c>
      <c r="H34" s="115">
        <v>4.5</v>
      </c>
      <c r="I34" s="115">
        <v>5</v>
      </c>
      <c r="J34" s="115">
        <v>5</v>
      </c>
      <c r="K34" s="115">
        <v>5</v>
      </c>
      <c r="L34" s="115">
        <v>5</v>
      </c>
      <c r="M34" s="50"/>
      <c r="N34" s="45">
        <f t="shared" ref="N34:N65" si="1">IF(G34="","",IF(COUNT(H34:L34)=3,IF(M34&lt;&gt;"",(SUM(H34:J34)-6)*G34,SUM(H34:J34)*G34),IF(M34&lt;&gt;"",(SUM(H34:L34)-MAX(H34:L34)-MIN(H34:L34)-6)*G34,(SUM(H34:L34)-MAX(H34:L34)-MIN(H34:L34))*G34)))</f>
        <v>21</v>
      </c>
      <c r="O34" s="45">
        <f>IF(N34="","",N34)</f>
        <v>21</v>
      </c>
    </row>
    <row r="35" spans="1:15" x14ac:dyDescent="0.25">
      <c r="A35" s="97"/>
      <c r="B35" s="109"/>
      <c r="C35" s="111"/>
      <c r="D35" s="46">
        <v>2</v>
      </c>
      <c r="E35" s="113" t="s">
        <v>120</v>
      </c>
      <c r="F35" s="45" t="str">
        <f>IF($E35="","",IF(ISNA(VLOOKUP($E35,DD!$A$2:$C$150,2,0)),"NO SUCH DIVE",VLOOKUP($E35,DD!$A$2:$C$150,2,0)))</f>
        <v>Back dive ½ twist layout</v>
      </c>
      <c r="G35" s="51">
        <f>IF($E35="","",IF(ISNA(VLOOKUP($E35,DD!$A$2:$C$150,3,0)),"",VLOOKUP($E35,DD!$A$2:$C$150,3,0)))</f>
        <v>1.4</v>
      </c>
      <c r="H35" s="115">
        <v>4</v>
      </c>
      <c r="I35" s="115">
        <v>4</v>
      </c>
      <c r="J35" s="115">
        <v>4.5</v>
      </c>
      <c r="K35" s="115">
        <v>4</v>
      </c>
      <c r="L35" s="115">
        <v>4.5</v>
      </c>
      <c r="M35" s="50"/>
      <c r="N35" s="45">
        <f t="shared" si="1"/>
        <v>17.5</v>
      </c>
      <c r="O35" s="45">
        <f>IF(N35="","",N35+O34)</f>
        <v>38.5</v>
      </c>
    </row>
    <row r="36" spans="1:15" x14ac:dyDescent="0.25">
      <c r="A36" s="97"/>
      <c r="B36" s="109"/>
      <c r="C36" s="111"/>
      <c r="D36" s="46">
        <v>3</v>
      </c>
      <c r="E36" s="113" t="s">
        <v>129</v>
      </c>
      <c r="F36" s="45" t="str">
        <f>IF($E36="","",IF(ISNA(VLOOKUP($E36,DD!$A$2:$C$150,2,0)),"NO SUCH DIVE",VLOOKUP($E36,DD!$A$2:$C$150,2,0)))</f>
        <v>Back fall in</v>
      </c>
      <c r="G36" s="46">
        <f>IF($E36="","",IF(ISNA(VLOOKUP($E36,DD!$A$2:$C$150,3,0)),"",VLOOKUP($E36,DD!$A$2:$C$150,3,0)))</f>
        <v>1</v>
      </c>
      <c r="H36" s="115">
        <v>4.5</v>
      </c>
      <c r="I36" s="115">
        <v>5.5</v>
      </c>
      <c r="J36" s="115">
        <v>5</v>
      </c>
      <c r="K36" s="115">
        <v>5</v>
      </c>
      <c r="L36" s="115">
        <v>5</v>
      </c>
      <c r="M36" s="50"/>
      <c r="N36" s="45">
        <f t="shared" si="1"/>
        <v>15</v>
      </c>
      <c r="O36" s="45">
        <f>IF(N36="","",N36+O35)</f>
        <v>53.5</v>
      </c>
    </row>
    <row r="37" spans="1:15" x14ac:dyDescent="0.25">
      <c r="A37" s="97"/>
      <c r="B37" s="109"/>
      <c r="C37" s="111"/>
      <c r="D37" s="46">
        <v>4</v>
      </c>
      <c r="E37" s="113" t="s">
        <v>312</v>
      </c>
      <c r="F37" s="45" t="str">
        <f>IF($E37="","",IF(ISNA(VLOOKUP($E37,DD!$A$2:$C$150,2,0)),"NO SUCH DIVE",VLOOKUP($E37,DD!$A$2:$C$150,2,0)))</f>
        <v>Front somersault ½ twist free</v>
      </c>
      <c r="G37" s="46">
        <f>IF($E37="","",IF(ISNA(VLOOKUP($E37,DD!$A$2:$C$150,3,0)),"",VLOOKUP($E37,DD!$A$2:$C$150,3,0)))</f>
        <v>1.7</v>
      </c>
      <c r="H37" s="115">
        <v>1</v>
      </c>
      <c r="I37" s="115">
        <v>1</v>
      </c>
      <c r="J37" s="115">
        <v>1</v>
      </c>
      <c r="K37" s="115">
        <v>1</v>
      </c>
      <c r="L37" s="115">
        <v>1</v>
      </c>
      <c r="M37" s="50"/>
      <c r="N37" s="45">
        <f t="shared" si="1"/>
        <v>5.0999999999999996</v>
      </c>
      <c r="O37" s="54">
        <f>IF(N37="",0,N37+O36)</f>
        <v>58.6</v>
      </c>
    </row>
    <row r="38" spans="1:15" x14ac:dyDescent="0.25">
      <c r="A38" s="103">
        <v>10</v>
      </c>
      <c r="B38" s="110" t="s">
        <v>434</v>
      </c>
      <c r="C38" s="112" t="s">
        <v>49</v>
      </c>
      <c r="D38" s="80">
        <v>1</v>
      </c>
      <c r="E38" s="114" t="s">
        <v>118</v>
      </c>
      <c r="F38" s="82" t="str">
        <f>IF($E38="","",IF(ISNA(VLOOKUP($E38,DD!$A$2:$C$150,2,0)),"NO SUCH DIVE",VLOOKUP($E38,DD!$A$2:$C$150,2,0)))</f>
        <v>Front dive tuck</v>
      </c>
      <c r="G38" s="83">
        <f>IF($E38="","",IF(ISNA(VLOOKUP($E38,DD!$A$2:$C$150,3,0)),"",VLOOKUP($E38,DD!$A$2:$C$150,3,0)))</f>
        <v>1.3</v>
      </c>
      <c r="H38" s="116">
        <v>5.5</v>
      </c>
      <c r="I38" s="116">
        <v>5.5</v>
      </c>
      <c r="J38" s="116">
        <v>6</v>
      </c>
      <c r="K38" s="116">
        <v>6</v>
      </c>
      <c r="L38" s="116">
        <v>6</v>
      </c>
      <c r="M38" s="81"/>
      <c r="N38" s="82">
        <f t="shared" si="1"/>
        <v>22.75</v>
      </c>
      <c r="O38" s="82">
        <f>IF(N38="","",N38)</f>
        <v>22.75</v>
      </c>
    </row>
    <row r="39" spans="1:15" x14ac:dyDescent="0.25">
      <c r="A39" s="103"/>
      <c r="B39" s="110"/>
      <c r="C39" s="112"/>
      <c r="D39" s="80">
        <v>2</v>
      </c>
      <c r="E39" s="114" t="s">
        <v>115</v>
      </c>
      <c r="F39" s="82" t="str">
        <f>IF($E39="","",IF(ISNA(VLOOKUP($E39,DD!$A$2:$C$150,2,0)),"NO SUCH DIVE",VLOOKUP($E39,DD!$A$2:$C$150,2,0)))</f>
        <v>Back dive layout</v>
      </c>
      <c r="G39" s="83">
        <f>IF($E39="","",IF(ISNA(VLOOKUP($E39,DD!$A$2:$C$150,3,0)),"",VLOOKUP($E39,DD!$A$2:$C$150,3,0)))</f>
        <v>1.4</v>
      </c>
      <c r="H39" s="116">
        <v>5</v>
      </c>
      <c r="I39" s="116">
        <v>5</v>
      </c>
      <c r="J39" s="116">
        <v>5</v>
      </c>
      <c r="K39" s="116">
        <v>5.5</v>
      </c>
      <c r="L39" s="116">
        <v>5.5</v>
      </c>
      <c r="M39" s="81"/>
      <c r="N39" s="82">
        <f t="shared" si="1"/>
        <v>21.7</v>
      </c>
      <c r="O39" s="82">
        <f>IF(N39="","",N39+O38)</f>
        <v>44.45</v>
      </c>
    </row>
    <row r="40" spans="1:15" x14ac:dyDescent="0.25">
      <c r="A40" s="103"/>
      <c r="B40" s="110"/>
      <c r="C40" s="112"/>
      <c r="D40" s="80">
        <v>3</v>
      </c>
      <c r="E40" s="114" t="s">
        <v>120</v>
      </c>
      <c r="F40" s="82" t="str">
        <f>IF($E40="","",IF(ISNA(VLOOKUP($E40,DD!$A$2:$C$150,2,0)),"NO SUCH DIVE",VLOOKUP($E40,DD!$A$2:$C$150,2,0)))</f>
        <v>Back dive ½ twist layout</v>
      </c>
      <c r="G40" s="80">
        <f>IF($E40="","",IF(ISNA(VLOOKUP($E40,DD!$A$2:$C$150,3,0)),"",VLOOKUP($E40,DD!$A$2:$C$150,3,0)))</f>
        <v>1.4</v>
      </c>
      <c r="H40" s="116">
        <v>4.5</v>
      </c>
      <c r="I40" s="116">
        <v>4.5</v>
      </c>
      <c r="J40" s="116">
        <v>4.5</v>
      </c>
      <c r="K40" s="116">
        <v>5.5</v>
      </c>
      <c r="L40" s="116">
        <v>5</v>
      </c>
      <c r="M40" s="81"/>
      <c r="N40" s="82">
        <f t="shared" si="1"/>
        <v>19.599999999999998</v>
      </c>
      <c r="O40" s="82">
        <f>IF(N40="","",N40+O39)</f>
        <v>64.05</v>
      </c>
    </row>
    <row r="41" spans="1:15" x14ac:dyDescent="0.25">
      <c r="A41" s="103"/>
      <c r="B41" s="110"/>
      <c r="C41" s="112"/>
      <c r="D41" s="80">
        <v>4</v>
      </c>
      <c r="E41" s="114" t="s">
        <v>132</v>
      </c>
      <c r="F41" s="82" t="str">
        <f>IF($E41="","",IF(ISNA(VLOOKUP($E41,DD!$A$2:$C$150,2,0)),"NO SUCH DIVE",VLOOKUP($E41,DD!$A$2:$C$150,2,0)))</f>
        <v>Back somersault layout</v>
      </c>
      <c r="G41" s="80">
        <f>IF($E41="","",IF(ISNA(VLOOKUP($E41,DD!$A$2:$C$150,3,0)),"",VLOOKUP($E41,DD!$A$2:$C$150,3,0)))</f>
        <v>1.7</v>
      </c>
      <c r="H41" s="116">
        <v>4</v>
      </c>
      <c r="I41" s="116">
        <v>3.5</v>
      </c>
      <c r="J41" s="116">
        <v>4</v>
      </c>
      <c r="K41" s="116">
        <v>4</v>
      </c>
      <c r="L41" s="116">
        <v>4.5</v>
      </c>
      <c r="M41" s="81"/>
      <c r="N41" s="82">
        <f t="shared" si="1"/>
        <v>20.399999999999999</v>
      </c>
      <c r="O41" s="85">
        <f>IF(N41="",0,N41+O40)</f>
        <v>84.449999999999989</v>
      </c>
    </row>
    <row r="42" spans="1:15" x14ac:dyDescent="0.25">
      <c r="A42" s="97">
        <v>11</v>
      </c>
      <c r="B42" s="107"/>
      <c r="C42" s="106"/>
      <c r="D42" s="46">
        <v>1</v>
      </c>
      <c r="E42" s="50"/>
      <c r="F42" s="45" t="str">
        <f>IF($E42="","",IF(ISNA(VLOOKUP($E42,DD!$A$2:$C$150,2,0)),"NO SUCH DIVE",VLOOKUP($E42,DD!$A$2:$C$150,2,0)))</f>
        <v/>
      </c>
      <c r="G42" s="51" t="str">
        <f>IF($E42="","",IF(ISNA(VLOOKUP($E42,DD!$A$2:$C$150,3,0)),"",VLOOKUP($E42,DD!$A$2:$C$150,3,0)))</f>
        <v/>
      </c>
      <c r="H42" s="52"/>
      <c r="I42" s="52"/>
      <c r="J42" s="52"/>
      <c r="K42" s="52"/>
      <c r="L42" s="52"/>
      <c r="M42" s="50"/>
      <c r="N42" s="45" t="str">
        <f t="shared" si="1"/>
        <v/>
      </c>
      <c r="O42" s="45" t="str">
        <f>IF(N42="","",N42)</f>
        <v/>
      </c>
    </row>
    <row r="43" spans="1:15" x14ac:dyDescent="0.25">
      <c r="A43" s="97"/>
      <c r="B43" s="107"/>
      <c r="C43" s="106"/>
      <c r="D43" s="46">
        <v>2</v>
      </c>
      <c r="E43" s="50"/>
      <c r="F43" s="45" t="str">
        <f>IF($E43="","",IF(ISNA(VLOOKUP($E43,DD!$A$2:$C$150,2,0)),"NO SUCH DIVE",VLOOKUP($E43,DD!$A$2:$C$150,2,0)))</f>
        <v/>
      </c>
      <c r="G43" s="51" t="str">
        <f>IF($E43="","",IF(ISNA(VLOOKUP($E43,DD!$A$2:$C$150,3,0)),"",VLOOKUP($E43,DD!$A$2:$C$150,3,0)))</f>
        <v/>
      </c>
      <c r="H43" s="52"/>
      <c r="I43" s="52"/>
      <c r="J43" s="52"/>
      <c r="K43" s="52"/>
      <c r="L43" s="52"/>
      <c r="M43" s="50"/>
      <c r="N43" s="45" t="str">
        <f t="shared" si="1"/>
        <v/>
      </c>
      <c r="O43" s="45" t="str">
        <f>IF(N43="","",N43+O42)</f>
        <v/>
      </c>
    </row>
    <row r="44" spans="1:15" x14ac:dyDescent="0.25">
      <c r="A44" s="97"/>
      <c r="B44" s="107"/>
      <c r="C44" s="106"/>
      <c r="D44" s="46">
        <v>3</v>
      </c>
      <c r="E44" s="50"/>
      <c r="F44" s="45" t="str">
        <f>IF($E44="","",IF(ISNA(VLOOKUP($E44,DD!$A$2:$C$150,2,0)),"NO SUCH DIVE",VLOOKUP($E44,DD!$A$2:$C$150,2,0)))</f>
        <v/>
      </c>
      <c r="G44" s="46" t="str">
        <f>IF($E44="","",IF(ISNA(VLOOKUP($E44,DD!$A$2:$C$150,3,0)),"",VLOOKUP($E44,DD!$A$2:$C$150,3,0)))</f>
        <v/>
      </c>
      <c r="H44" s="52"/>
      <c r="I44" s="52"/>
      <c r="J44" s="52"/>
      <c r="K44" s="52"/>
      <c r="L44" s="52"/>
      <c r="M44" s="50"/>
      <c r="N44" s="45" t="str">
        <f t="shared" si="1"/>
        <v/>
      </c>
      <c r="O44" s="45" t="str">
        <f>IF(N44="","",N44+O43)</f>
        <v/>
      </c>
    </row>
    <row r="45" spans="1:15" x14ac:dyDescent="0.25">
      <c r="A45" s="97"/>
      <c r="B45" s="107"/>
      <c r="C45" s="106"/>
      <c r="D45" s="46">
        <v>4</v>
      </c>
      <c r="E45" s="50"/>
      <c r="F45" s="45" t="str">
        <f>IF($E45="","",IF(ISNA(VLOOKUP($E45,DD!$A$2:$C$150,2,0)),"NO SUCH DIVE",VLOOKUP($E45,DD!$A$2:$C$150,2,0)))</f>
        <v/>
      </c>
      <c r="G45" s="46" t="str">
        <f>IF($E45="","",IF(ISNA(VLOOKUP($E45,DD!$A$2:$C$150,3,0)),"",VLOOKUP($E45,DD!$A$2:$C$150,3,0)))</f>
        <v/>
      </c>
      <c r="H45" s="52"/>
      <c r="I45" s="52"/>
      <c r="J45" s="52"/>
      <c r="K45" s="52"/>
      <c r="L45" s="52"/>
      <c r="M45" s="50"/>
      <c r="N45" s="45" t="str">
        <f t="shared" si="1"/>
        <v/>
      </c>
      <c r="O45" s="54">
        <f>IF(N45="",0,N45+O44)</f>
        <v>0</v>
      </c>
    </row>
    <row r="46" spans="1:15" x14ac:dyDescent="0.25">
      <c r="A46" s="103">
        <v>12</v>
      </c>
      <c r="B46" s="108"/>
      <c r="C46" s="105"/>
      <c r="D46" s="80">
        <v>1</v>
      </c>
      <c r="E46" s="81"/>
      <c r="F46" s="82" t="str">
        <f>IF($E46="","",IF(ISNA(VLOOKUP($E46,DD!$A$2:$C$150,2,0)),"NO SUCH DIVE",VLOOKUP($E46,DD!$A$2:$C$150,2,0)))</f>
        <v/>
      </c>
      <c r="G46" s="83" t="str">
        <f>IF($E46="","",IF(ISNA(VLOOKUP($E46,DD!$A$2:$C$150,3,0)),"",VLOOKUP($E46,DD!$A$2:$C$150,3,0)))</f>
        <v/>
      </c>
      <c r="H46" s="84"/>
      <c r="I46" s="84"/>
      <c r="J46" s="84"/>
      <c r="K46" s="84"/>
      <c r="L46" s="84"/>
      <c r="M46" s="81"/>
      <c r="N46" s="82" t="str">
        <f t="shared" si="1"/>
        <v/>
      </c>
      <c r="O46" s="82" t="str">
        <f>IF(N46="","",N46)</f>
        <v/>
      </c>
    </row>
    <row r="47" spans="1:15" x14ac:dyDescent="0.25">
      <c r="A47" s="103"/>
      <c r="B47" s="108"/>
      <c r="C47" s="105"/>
      <c r="D47" s="80">
        <v>2</v>
      </c>
      <c r="E47" s="86"/>
      <c r="F47" s="82" t="str">
        <f>IF($E47="","",IF(ISNA(VLOOKUP($E47,DD!$A$2:$C$150,2,0)),"NO SUCH DIVE",VLOOKUP($E47,DD!$A$2:$C$150,2,0)))</f>
        <v/>
      </c>
      <c r="G47" s="83" t="str">
        <f>IF($E47="","",IF(ISNA(VLOOKUP($E47,DD!$A$2:$C$150,3,0)),"",VLOOKUP($E47,DD!$A$2:$C$150,3,0)))</f>
        <v/>
      </c>
      <c r="H47" s="84"/>
      <c r="I47" s="84"/>
      <c r="J47" s="84"/>
      <c r="K47" s="84"/>
      <c r="L47" s="84"/>
      <c r="M47" s="81"/>
      <c r="N47" s="82" t="str">
        <f t="shared" si="1"/>
        <v/>
      </c>
      <c r="O47" s="82" t="str">
        <f>IF(N47="","",N47+O46)</f>
        <v/>
      </c>
    </row>
    <row r="48" spans="1:15" x14ac:dyDescent="0.25">
      <c r="A48" s="103"/>
      <c r="B48" s="108"/>
      <c r="C48" s="105"/>
      <c r="D48" s="80">
        <v>3</v>
      </c>
      <c r="E48" s="86"/>
      <c r="F48" s="82" t="str">
        <f>IF($E48="","",IF(ISNA(VLOOKUP($E48,DD!$A$2:$C$150,2,0)),"NO SUCH DIVE",VLOOKUP($E48,DD!$A$2:$C$150,2,0)))</f>
        <v/>
      </c>
      <c r="G48" s="80" t="str">
        <f>IF($E48="","",IF(ISNA(VLOOKUP($E48,DD!$A$2:$C$150,3,0)),"",VLOOKUP($E48,DD!$A$2:$C$150,3,0)))</f>
        <v/>
      </c>
      <c r="H48" s="84"/>
      <c r="I48" s="84"/>
      <c r="J48" s="84"/>
      <c r="K48" s="84"/>
      <c r="L48" s="84"/>
      <c r="M48" s="81"/>
      <c r="N48" s="82" t="str">
        <f t="shared" si="1"/>
        <v/>
      </c>
      <c r="O48" s="82" t="str">
        <f>IF(N48="","",N48+O47)</f>
        <v/>
      </c>
    </row>
    <row r="49" spans="1:15" x14ac:dyDescent="0.25">
      <c r="A49" s="103"/>
      <c r="B49" s="108"/>
      <c r="C49" s="105"/>
      <c r="D49" s="80">
        <v>4</v>
      </c>
      <c r="E49" s="86"/>
      <c r="F49" s="82" t="str">
        <f>IF($E49="","",IF(ISNA(VLOOKUP($E49,DD!$A$2:$C$150,2,0)),"NO SUCH DIVE",VLOOKUP($E49,DD!$A$2:$C$150,2,0)))</f>
        <v/>
      </c>
      <c r="G49" s="80" t="str">
        <f>IF($E49="","",IF(ISNA(VLOOKUP($E49,DD!$A$2:$C$150,3,0)),"",VLOOKUP($E49,DD!$A$2:$C$150,3,0)))</f>
        <v/>
      </c>
      <c r="H49" s="84"/>
      <c r="I49" s="84"/>
      <c r="J49" s="84"/>
      <c r="K49" s="84"/>
      <c r="L49" s="84"/>
      <c r="M49" s="81"/>
      <c r="N49" s="82" t="str">
        <f t="shared" si="1"/>
        <v/>
      </c>
      <c r="O49" s="85">
        <f>IF(N49="",0,N49+O48)</f>
        <v>0</v>
      </c>
    </row>
    <row r="50" spans="1:15" x14ac:dyDescent="0.25">
      <c r="A50" s="97">
        <v>13</v>
      </c>
      <c r="B50" s="107"/>
      <c r="C50" s="106"/>
      <c r="D50" s="46">
        <v>1</v>
      </c>
      <c r="E50" s="50"/>
      <c r="F50" s="45" t="str">
        <f>IF($E50="","",IF(ISNA(VLOOKUP($E50,DD!$A$2:$C$150,2,0)),"NO SUCH DIVE",VLOOKUP($E50,DD!$A$2:$C$150,2,0)))</f>
        <v/>
      </c>
      <c r="G50" s="51" t="str">
        <f>IF($E50="","",IF(ISNA(VLOOKUP($E50,DD!$A$2:$C$150,3,0)),"",VLOOKUP($E50,DD!$A$2:$C$150,3,0)))</f>
        <v/>
      </c>
      <c r="H50" s="52"/>
      <c r="I50" s="52"/>
      <c r="J50" s="52"/>
      <c r="K50" s="52"/>
      <c r="L50" s="52"/>
      <c r="M50" s="50"/>
      <c r="N50" s="45" t="str">
        <f t="shared" si="1"/>
        <v/>
      </c>
      <c r="O50" s="45" t="str">
        <f>IF(N50="","",N50)</f>
        <v/>
      </c>
    </row>
    <row r="51" spans="1:15" x14ac:dyDescent="0.25">
      <c r="A51" s="97"/>
      <c r="B51" s="107"/>
      <c r="C51" s="106"/>
      <c r="D51" s="46">
        <v>2</v>
      </c>
      <c r="E51" s="50"/>
      <c r="F51" s="45" t="str">
        <f>IF($E51="","",IF(ISNA(VLOOKUP($E51,DD!$A$2:$C$150,2,0)),"NO SUCH DIVE",VLOOKUP($E51,DD!$A$2:$C$150,2,0)))</f>
        <v/>
      </c>
      <c r="G51" s="51" t="str">
        <f>IF($E51="","",IF(ISNA(VLOOKUP($E51,DD!$A$2:$C$150,3,0)),"",VLOOKUP($E51,DD!$A$2:$C$150,3,0)))</f>
        <v/>
      </c>
      <c r="H51" s="52"/>
      <c r="I51" s="52"/>
      <c r="J51" s="52"/>
      <c r="K51" s="52"/>
      <c r="L51" s="52"/>
      <c r="M51" s="50"/>
      <c r="N51" s="45" t="str">
        <f t="shared" si="1"/>
        <v/>
      </c>
      <c r="O51" s="45" t="str">
        <f>IF(N51="","",N51+O50)</f>
        <v/>
      </c>
    </row>
    <row r="52" spans="1:15" x14ac:dyDescent="0.25">
      <c r="A52" s="97"/>
      <c r="B52" s="107"/>
      <c r="C52" s="106"/>
      <c r="D52" s="46">
        <v>3</v>
      </c>
      <c r="E52" s="50"/>
      <c r="F52" s="45" t="str">
        <f>IF($E52="","",IF(ISNA(VLOOKUP($E52,DD!$A$2:$C$150,2,0)),"NO SUCH DIVE",VLOOKUP($E52,DD!$A$2:$C$150,2,0)))</f>
        <v/>
      </c>
      <c r="G52" s="46" t="str">
        <f>IF($E52="","",IF(ISNA(VLOOKUP($E52,DD!$A$2:$C$150,3,0)),"",VLOOKUP($E52,DD!$A$2:$C$150,3,0)))</f>
        <v/>
      </c>
      <c r="H52" s="52"/>
      <c r="I52" s="52"/>
      <c r="J52" s="52"/>
      <c r="K52" s="52"/>
      <c r="L52" s="52"/>
      <c r="M52" s="50"/>
      <c r="N52" s="45" t="str">
        <f t="shared" si="1"/>
        <v/>
      </c>
      <c r="O52" s="45" t="str">
        <f>IF(N52="","",N52+O51)</f>
        <v/>
      </c>
    </row>
    <row r="53" spans="1:15" x14ac:dyDescent="0.25">
      <c r="A53" s="97"/>
      <c r="B53" s="107"/>
      <c r="C53" s="106"/>
      <c r="D53" s="46">
        <v>4</v>
      </c>
      <c r="E53" s="50"/>
      <c r="F53" s="45" t="str">
        <f>IF($E53="","",IF(ISNA(VLOOKUP($E53,DD!$A$2:$C$150,2,0)),"NO SUCH DIVE",VLOOKUP($E53,DD!$A$2:$C$150,2,0)))</f>
        <v/>
      </c>
      <c r="G53" s="46" t="str">
        <f>IF($E53="","",IF(ISNA(VLOOKUP($E53,DD!$A$2:$C$150,3,0)),"",VLOOKUP($E53,DD!$A$2:$C$150,3,0)))</f>
        <v/>
      </c>
      <c r="H53" s="52"/>
      <c r="I53" s="52"/>
      <c r="J53" s="52"/>
      <c r="K53" s="52"/>
      <c r="L53" s="52"/>
      <c r="M53" s="50"/>
      <c r="N53" s="45" t="str">
        <f t="shared" si="1"/>
        <v/>
      </c>
      <c r="O53" s="54">
        <f>IF(N53="",0,N53+O52)</f>
        <v>0</v>
      </c>
    </row>
    <row r="54" spans="1:15" x14ac:dyDescent="0.25">
      <c r="A54" s="103">
        <v>14</v>
      </c>
      <c r="B54" s="108"/>
      <c r="C54" s="105"/>
      <c r="D54" s="80">
        <v>1</v>
      </c>
      <c r="E54" s="81"/>
      <c r="F54" s="82" t="str">
        <f>IF($E54="","",IF(ISNA(VLOOKUP($E54,DD!$A$2:$C$150,2,0)),"NO SUCH DIVE",VLOOKUP($E54,DD!$A$2:$C$150,2,0)))</f>
        <v/>
      </c>
      <c r="G54" s="83" t="str">
        <f>IF($E54="","",IF(ISNA(VLOOKUP($E54,DD!$A$2:$C$150,3,0)),"",VLOOKUP($E54,DD!$A$2:$C$150,3,0)))</f>
        <v/>
      </c>
      <c r="H54" s="84"/>
      <c r="I54" s="84"/>
      <c r="J54" s="84"/>
      <c r="K54" s="84"/>
      <c r="L54" s="84"/>
      <c r="M54" s="81"/>
      <c r="N54" s="82" t="str">
        <f t="shared" si="1"/>
        <v/>
      </c>
      <c r="O54" s="82" t="str">
        <f>IF(N54="","",N54)</f>
        <v/>
      </c>
    </row>
    <row r="55" spans="1:15" x14ac:dyDescent="0.25">
      <c r="A55" s="103"/>
      <c r="B55" s="108"/>
      <c r="C55" s="105"/>
      <c r="D55" s="80">
        <v>2</v>
      </c>
      <c r="E55" s="86"/>
      <c r="F55" s="82" t="str">
        <f>IF($E55="","",IF(ISNA(VLOOKUP($E55,DD!$A$2:$C$150,2,0)),"NO SUCH DIVE",VLOOKUP($E55,DD!$A$2:$C$150,2,0)))</f>
        <v/>
      </c>
      <c r="G55" s="83" t="str">
        <f>IF($E55="","",IF(ISNA(VLOOKUP($E55,DD!$A$2:$C$150,3,0)),"",VLOOKUP($E55,DD!$A$2:$C$150,3,0)))</f>
        <v/>
      </c>
      <c r="H55" s="84"/>
      <c r="I55" s="84"/>
      <c r="J55" s="84"/>
      <c r="K55" s="84"/>
      <c r="L55" s="84"/>
      <c r="M55" s="81"/>
      <c r="N55" s="82" t="str">
        <f t="shared" si="1"/>
        <v/>
      </c>
      <c r="O55" s="82" t="str">
        <f>IF(N55="","",N55+O54)</f>
        <v/>
      </c>
    </row>
    <row r="56" spans="1:15" x14ac:dyDescent="0.25">
      <c r="A56" s="103"/>
      <c r="B56" s="108"/>
      <c r="C56" s="105"/>
      <c r="D56" s="80">
        <v>3</v>
      </c>
      <c r="E56" s="86"/>
      <c r="F56" s="82" t="str">
        <f>IF($E56="","",IF(ISNA(VLOOKUP($E56,DD!$A$2:$C$150,2,0)),"NO SUCH DIVE",VLOOKUP($E56,DD!$A$2:$C$150,2,0)))</f>
        <v/>
      </c>
      <c r="G56" s="80" t="str">
        <f>IF($E56="","",IF(ISNA(VLOOKUP($E56,DD!$A$2:$C$150,3,0)),"",VLOOKUP($E56,DD!$A$2:$C$150,3,0)))</f>
        <v/>
      </c>
      <c r="H56" s="84"/>
      <c r="I56" s="84"/>
      <c r="J56" s="84"/>
      <c r="K56" s="84"/>
      <c r="L56" s="84"/>
      <c r="M56" s="81"/>
      <c r="N56" s="82" t="str">
        <f t="shared" si="1"/>
        <v/>
      </c>
      <c r="O56" s="82" t="str">
        <f>IF(N56="","",N56+O55)</f>
        <v/>
      </c>
    </row>
    <row r="57" spans="1:15" x14ac:dyDescent="0.25">
      <c r="A57" s="103"/>
      <c r="B57" s="108"/>
      <c r="C57" s="105"/>
      <c r="D57" s="80">
        <v>4</v>
      </c>
      <c r="E57" s="86"/>
      <c r="F57" s="82" t="str">
        <f>IF($E57="","",IF(ISNA(VLOOKUP($E57,DD!$A$2:$C$150,2,0)),"NO SUCH DIVE",VLOOKUP($E57,DD!$A$2:$C$150,2,0)))</f>
        <v/>
      </c>
      <c r="G57" s="80" t="str">
        <f>IF($E57="","",IF(ISNA(VLOOKUP($E57,DD!$A$2:$C$150,3,0)),"",VLOOKUP($E57,DD!$A$2:$C$150,3,0)))</f>
        <v/>
      </c>
      <c r="H57" s="84"/>
      <c r="I57" s="84"/>
      <c r="J57" s="84"/>
      <c r="K57" s="84"/>
      <c r="L57" s="84"/>
      <c r="M57" s="81"/>
      <c r="N57" s="82" t="str">
        <f t="shared" si="1"/>
        <v/>
      </c>
      <c r="O57" s="85">
        <f>IF(N57="",0,N57+O56)</f>
        <v>0</v>
      </c>
    </row>
    <row r="58" spans="1:15" x14ac:dyDescent="0.25">
      <c r="A58" s="97">
        <v>15</v>
      </c>
      <c r="B58" s="107"/>
      <c r="C58" s="106"/>
      <c r="D58" s="46">
        <v>1</v>
      </c>
      <c r="E58" s="50"/>
      <c r="F58" s="45" t="str">
        <f>IF($E58="","",IF(ISNA(VLOOKUP($E58,DD!$A$2:$C$150,2,0)),"NO SUCH DIVE",VLOOKUP($E58,DD!$A$2:$C$150,2,0)))</f>
        <v/>
      </c>
      <c r="G58" s="51" t="str">
        <f>IF($E58="","",IF(ISNA(VLOOKUP($E58,DD!$A$2:$C$150,3,0)),"",VLOOKUP($E58,DD!$A$2:$C$150,3,0)))</f>
        <v/>
      </c>
      <c r="H58" s="52"/>
      <c r="I58" s="52"/>
      <c r="J58" s="52"/>
      <c r="K58" s="52"/>
      <c r="L58" s="52"/>
      <c r="M58" s="50"/>
      <c r="N58" s="45" t="str">
        <f t="shared" si="1"/>
        <v/>
      </c>
      <c r="O58" s="45" t="str">
        <f>IF(N58="","",N58)</f>
        <v/>
      </c>
    </row>
    <row r="59" spans="1:15" x14ac:dyDescent="0.25">
      <c r="A59" s="97"/>
      <c r="B59" s="107"/>
      <c r="C59" s="106"/>
      <c r="D59" s="46">
        <v>2</v>
      </c>
      <c r="E59" s="62"/>
      <c r="F59" s="45" t="str">
        <f>IF($E59="","",IF(ISNA(VLOOKUP($E59,DD!$A$2:$C$150,2,0)),"NO SUCH DIVE",VLOOKUP($E59,DD!$A$2:$C$150,2,0)))</f>
        <v/>
      </c>
      <c r="G59" s="51" t="str">
        <f>IF($E59="","",IF(ISNA(VLOOKUP($E59,DD!$A$2:$C$150,3,0)),"",VLOOKUP($E59,DD!$A$2:$C$150,3,0)))</f>
        <v/>
      </c>
      <c r="H59" s="52"/>
      <c r="I59" s="52"/>
      <c r="J59" s="52"/>
      <c r="K59" s="52"/>
      <c r="L59" s="52"/>
      <c r="M59" s="50"/>
      <c r="N59" s="45" t="str">
        <f t="shared" si="1"/>
        <v/>
      </c>
      <c r="O59" s="45" t="str">
        <f>IF(N59="","",N59+O58)</f>
        <v/>
      </c>
    </row>
    <row r="60" spans="1:15" x14ac:dyDescent="0.25">
      <c r="A60" s="97"/>
      <c r="B60" s="107"/>
      <c r="C60" s="106"/>
      <c r="D60" s="46">
        <v>3</v>
      </c>
      <c r="E60" s="50"/>
      <c r="F60" s="45" t="str">
        <f>IF($E60="","",IF(ISNA(VLOOKUP($E60,DD!$A$2:$C$150,2,0)),"NO SUCH DIVE",VLOOKUP($E60,DD!$A$2:$C$150,2,0)))</f>
        <v/>
      </c>
      <c r="G60" s="46" t="str">
        <f>IF($E60="","",IF(ISNA(VLOOKUP($E60,DD!$A$2:$C$150,3,0)),"",VLOOKUP($E60,DD!$A$2:$C$150,3,0)))</f>
        <v/>
      </c>
      <c r="H60" s="52"/>
      <c r="I60" s="52"/>
      <c r="J60" s="52"/>
      <c r="K60" s="52"/>
      <c r="L60" s="52"/>
      <c r="M60" s="50"/>
      <c r="N60" s="45" t="str">
        <f t="shared" si="1"/>
        <v/>
      </c>
      <c r="O60" s="45" t="str">
        <f>IF(N60="","",N60+O59)</f>
        <v/>
      </c>
    </row>
    <row r="61" spans="1:15" x14ac:dyDescent="0.25">
      <c r="A61" s="97"/>
      <c r="B61" s="107"/>
      <c r="C61" s="106"/>
      <c r="D61" s="46">
        <v>4</v>
      </c>
      <c r="E61" s="62"/>
      <c r="F61" s="45" t="str">
        <f>IF($E61="","",IF(ISNA(VLOOKUP($E61,DD!$A$2:$C$150,2,0)),"NO SUCH DIVE",VLOOKUP($E61,DD!$A$2:$C$150,2,0)))</f>
        <v/>
      </c>
      <c r="G61" s="46" t="str">
        <f>IF($E61="","",IF(ISNA(VLOOKUP($E61,DD!$A$2:$C$150,3,0)),"",VLOOKUP($E61,DD!$A$2:$C$150,3,0)))</f>
        <v/>
      </c>
      <c r="H61" s="52"/>
      <c r="I61" s="52"/>
      <c r="J61" s="52"/>
      <c r="K61" s="52"/>
      <c r="L61" s="52"/>
      <c r="M61" s="50"/>
      <c r="N61" s="45" t="str">
        <f t="shared" si="1"/>
        <v/>
      </c>
      <c r="O61" s="54">
        <f>IF(N61="",0,N61+O60)</f>
        <v>0</v>
      </c>
    </row>
    <row r="62" spans="1:15" x14ac:dyDescent="0.25">
      <c r="A62" s="103">
        <v>16</v>
      </c>
      <c r="B62" s="108"/>
      <c r="C62" s="105"/>
      <c r="D62" s="80">
        <v>1</v>
      </c>
      <c r="E62" s="81"/>
      <c r="F62" s="82" t="str">
        <f>IF($E62="","",IF(ISNA(VLOOKUP($E62,DD!$A$2:$C$150,2,0)),"NO SUCH DIVE",VLOOKUP($E62,DD!$A$2:$C$150,2,0)))</f>
        <v/>
      </c>
      <c r="G62" s="83" t="str">
        <f>IF($E62="","",IF(ISNA(VLOOKUP($E62,DD!$A$2:$C$150,3,0)),"",VLOOKUP($E62,DD!$A$2:$C$150,3,0)))</f>
        <v/>
      </c>
      <c r="H62" s="84"/>
      <c r="I62" s="84"/>
      <c r="J62" s="84"/>
      <c r="K62" s="84"/>
      <c r="L62" s="84"/>
      <c r="M62" s="81"/>
      <c r="N62" s="82" t="str">
        <f t="shared" si="1"/>
        <v/>
      </c>
      <c r="O62" s="82" t="str">
        <f>IF(N62="","",N62)</f>
        <v/>
      </c>
    </row>
    <row r="63" spans="1:15" x14ac:dyDescent="0.25">
      <c r="A63" s="103"/>
      <c r="B63" s="108"/>
      <c r="C63" s="105"/>
      <c r="D63" s="80">
        <v>2</v>
      </c>
      <c r="E63" s="86"/>
      <c r="F63" s="82" t="str">
        <f>IF($E63="","",IF(ISNA(VLOOKUP($E63,DD!$A$2:$C$150,2,0)),"NO SUCH DIVE",VLOOKUP($E63,DD!$A$2:$C$150,2,0)))</f>
        <v/>
      </c>
      <c r="G63" s="83" t="str">
        <f>IF($E63="","",IF(ISNA(VLOOKUP($E63,DD!$A$2:$C$150,3,0)),"",VLOOKUP($E63,DD!$A$2:$C$150,3,0)))</f>
        <v/>
      </c>
      <c r="H63" s="84"/>
      <c r="I63" s="84"/>
      <c r="J63" s="84"/>
      <c r="K63" s="84"/>
      <c r="L63" s="84"/>
      <c r="M63" s="81"/>
      <c r="N63" s="82" t="str">
        <f t="shared" si="1"/>
        <v/>
      </c>
      <c r="O63" s="82" t="str">
        <f>IF(N63="","",N63+O62)</f>
        <v/>
      </c>
    </row>
    <row r="64" spans="1:15" x14ac:dyDescent="0.25">
      <c r="A64" s="103"/>
      <c r="B64" s="108"/>
      <c r="C64" s="105"/>
      <c r="D64" s="80">
        <v>3</v>
      </c>
      <c r="E64" s="86"/>
      <c r="F64" s="82" t="str">
        <f>IF($E64="","",IF(ISNA(VLOOKUP($E64,DD!$A$2:$C$150,2,0)),"NO SUCH DIVE",VLOOKUP($E64,DD!$A$2:$C$150,2,0)))</f>
        <v/>
      </c>
      <c r="G64" s="80" t="str">
        <f>IF($E64="","",IF(ISNA(VLOOKUP($E64,DD!$A$2:$C$150,3,0)),"",VLOOKUP($E64,DD!$A$2:$C$150,3,0)))</f>
        <v/>
      </c>
      <c r="H64" s="84"/>
      <c r="I64" s="84"/>
      <c r="J64" s="84"/>
      <c r="K64" s="84"/>
      <c r="L64" s="84"/>
      <c r="M64" s="81"/>
      <c r="N64" s="82" t="str">
        <f t="shared" si="1"/>
        <v/>
      </c>
      <c r="O64" s="82" t="str">
        <f>IF(N64="","",N64+O63)</f>
        <v/>
      </c>
    </row>
    <row r="65" spans="1:15" x14ac:dyDescent="0.25">
      <c r="A65" s="103"/>
      <c r="B65" s="108"/>
      <c r="C65" s="105"/>
      <c r="D65" s="80">
        <v>4</v>
      </c>
      <c r="E65" s="86"/>
      <c r="F65" s="82" t="str">
        <f>IF($E65="","",IF(ISNA(VLOOKUP($E65,DD!$A$2:$C$150,2,0)),"NO SUCH DIVE",VLOOKUP($E65,DD!$A$2:$C$150,2,0)))</f>
        <v/>
      </c>
      <c r="G65" s="80" t="str">
        <f>IF($E65="","",IF(ISNA(VLOOKUP($E65,DD!$A$2:$C$150,3,0)),"",VLOOKUP($E65,DD!$A$2:$C$150,3,0)))</f>
        <v/>
      </c>
      <c r="H65" s="84"/>
      <c r="I65" s="84"/>
      <c r="J65" s="84"/>
      <c r="K65" s="84"/>
      <c r="L65" s="84"/>
      <c r="M65" s="81"/>
      <c r="N65" s="82" t="str">
        <f t="shared" si="1"/>
        <v/>
      </c>
      <c r="O65" s="85">
        <f>IF(N65="",0,N65+O64)</f>
        <v>0</v>
      </c>
    </row>
    <row r="66" spans="1:15" x14ac:dyDescent="0.25">
      <c r="A66" s="97">
        <v>17</v>
      </c>
      <c r="B66" s="107"/>
      <c r="C66" s="106"/>
      <c r="D66" s="46">
        <v>1</v>
      </c>
      <c r="E66" s="50"/>
      <c r="F66" s="45" t="str">
        <f>IF($E66="","",IF(ISNA(VLOOKUP($E66,DD!$A$2:$C$150,2,0)),"NO SUCH DIVE",VLOOKUP($E66,DD!$A$2:$C$150,2,0)))</f>
        <v/>
      </c>
      <c r="G66" s="51" t="str">
        <f>IF($E66="","",IF(ISNA(VLOOKUP($E66,DD!$A$2:$C$150,3,0)),"",VLOOKUP($E66,DD!$A$2:$C$150,3,0)))</f>
        <v/>
      </c>
      <c r="H66" s="52"/>
      <c r="I66" s="52"/>
      <c r="J66" s="52"/>
      <c r="K66" s="52"/>
      <c r="L66" s="52"/>
      <c r="M66" s="50"/>
      <c r="N66" s="45" t="str">
        <f t="shared" ref="N66:N97" si="2">IF(G66="","",IF(COUNT(H66:L66)=3,IF(M66&lt;&gt;"",(SUM(H66:J66)-6)*G66,SUM(H66:J66)*G66),IF(M66&lt;&gt;"",(SUM(H66:L66)-MAX(H66:L66)-MIN(H66:L66)-6)*G66,(SUM(H66:L66)-MAX(H66:L66)-MIN(H66:L66))*G66)))</f>
        <v/>
      </c>
      <c r="O66" s="45" t="str">
        <f>IF(N66="","",N66)</f>
        <v/>
      </c>
    </row>
    <row r="67" spans="1:15" x14ac:dyDescent="0.25">
      <c r="A67" s="97"/>
      <c r="B67" s="107"/>
      <c r="C67" s="106"/>
      <c r="D67" s="46">
        <v>2</v>
      </c>
      <c r="E67" s="50"/>
      <c r="F67" s="45" t="str">
        <f>IF($E67="","",IF(ISNA(VLOOKUP($E67,DD!$A$2:$C$150,2,0)),"NO SUCH DIVE",VLOOKUP($E67,DD!$A$2:$C$150,2,0)))</f>
        <v/>
      </c>
      <c r="G67" s="51" t="str">
        <f>IF($E67="","",IF(ISNA(VLOOKUP($E67,DD!$A$2:$C$150,3,0)),"",VLOOKUP($E67,DD!$A$2:$C$150,3,0)))</f>
        <v/>
      </c>
      <c r="H67" s="52"/>
      <c r="I67" s="52"/>
      <c r="J67" s="52"/>
      <c r="K67" s="52"/>
      <c r="L67" s="52"/>
      <c r="M67" s="50"/>
      <c r="N67" s="45" t="str">
        <f t="shared" si="2"/>
        <v/>
      </c>
      <c r="O67" s="45" t="str">
        <f>IF(N67="","",N67+O66)</f>
        <v/>
      </c>
    </row>
    <row r="68" spans="1:15" x14ac:dyDescent="0.25">
      <c r="A68" s="97"/>
      <c r="B68" s="107"/>
      <c r="C68" s="106"/>
      <c r="D68" s="46">
        <v>3</v>
      </c>
      <c r="E68" s="50"/>
      <c r="F68" s="45" t="str">
        <f>IF($E68="","",IF(ISNA(VLOOKUP($E68,DD!$A$2:$C$150,2,0)),"NO SUCH DIVE",VLOOKUP($E68,DD!$A$2:$C$150,2,0)))</f>
        <v/>
      </c>
      <c r="G68" s="46" t="str">
        <f>IF($E68="","",IF(ISNA(VLOOKUP($E68,DD!$A$2:$C$150,3,0)),"",VLOOKUP($E68,DD!$A$2:$C$150,3,0)))</f>
        <v/>
      </c>
      <c r="H68" s="52"/>
      <c r="I68" s="52"/>
      <c r="J68" s="52"/>
      <c r="K68" s="52"/>
      <c r="L68" s="52"/>
      <c r="M68" s="50"/>
      <c r="N68" s="45" t="str">
        <f t="shared" si="2"/>
        <v/>
      </c>
      <c r="O68" s="45" t="str">
        <f>IF(N68="","",N68+O67)</f>
        <v/>
      </c>
    </row>
    <row r="69" spans="1:15" x14ac:dyDescent="0.25">
      <c r="A69" s="97"/>
      <c r="B69" s="107"/>
      <c r="C69" s="106"/>
      <c r="D69" s="46">
        <v>4</v>
      </c>
      <c r="E69" s="50"/>
      <c r="F69" s="45" t="str">
        <f>IF($E69="","",IF(ISNA(VLOOKUP($E69,DD!$A$2:$C$150,2,0)),"NO SUCH DIVE",VLOOKUP($E69,DD!$A$2:$C$150,2,0)))</f>
        <v/>
      </c>
      <c r="G69" s="46" t="str">
        <f>IF($E69="","",IF(ISNA(VLOOKUP($E69,DD!$A$2:$C$150,3,0)),"",VLOOKUP($E69,DD!$A$2:$C$150,3,0)))</f>
        <v/>
      </c>
      <c r="H69" s="52"/>
      <c r="I69" s="52"/>
      <c r="J69" s="52"/>
      <c r="K69" s="52"/>
      <c r="L69" s="52"/>
      <c r="M69" s="50"/>
      <c r="N69" s="45" t="str">
        <f t="shared" si="2"/>
        <v/>
      </c>
      <c r="O69" s="54">
        <f>IF(N69="",0,N69+O68)</f>
        <v>0</v>
      </c>
    </row>
    <row r="70" spans="1:15" x14ac:dyDescent="0.25">
      <c r="A70" s="103">
        <v>18</v>
      </c>
      <c r="B70" s="108"/>
      <c r="C70" s="105"/>
      <c r="D70" s="80">
        <v>1</v>
      </c>
      <c r="E70" s="81"/>
      <c r="F70" s="82" t="str">
        <f>IF($E70="","",IF(ISNA(VLOOKUP($E70,DD!$A$2:$C$150,2,0)),"NO SUCH DIVE",VLOOKUP($E70,DD!$A$2:$C$150,2,0)))</f>
        <v/>
      </c>
      <c r="G70" s="83" t="str">
        <f>IF($E70="","",IF(ISNA(VLOOKUP($E70,DD!$A$2:$C$150,3,0)),"",VLOOKUP($E70,DD!$A$2:$C$150,3,0)))</f>
        <v/>
      </c>
      <c r="H70" s="84"/>
      <c r="I70" s="84"/>
      <c r="J70" s="84"/>
      <c r="K70" s="84"/>
      <c r="L70" s="84"/>
      <c r="M70" s="81"/>
      <c r="N70" s="82" t="str">
        <f t="shared" si="2"/>
        <v/>
      </c>
      <c r="O70" s="82" t="str">
        <f>IF(N70="","",N70)</f>
        <v/>
      </c>
    </row>
    <row r="71" spans="1:15" x14ac:dyDescent="0.25">
      <c r="A71" s="103"/>
      <c r="B71" s="108"/>
      <c r="C71" s="105"/>
      <c r="D71" s="80">
        <v>2</v>
      </c>
      <c r="E71" s="86"/>
      <c r="F71" s="82" t="str">
        <f>IF($E71="","",IF(ISNA(VLOOKUP($E71,DD!$A$2:$C$150,2,0)),"NO SUCH DIVE",VLOOKUP($E71,DD!$A$2:$C$150,2,0)))</f>
        <v/>
      </c>
      <c r="G71" s="83" t="str">
        <f>IF($E71="","",IF(ISNA(VLOOKUP($E71,DD!$A$2:$C$150,3,0)),"",VLOOKUP($E71,DD!$A$2:$C$150,3,0)))</f>
        <v/>
      </c>
      <c r="H71" s="84"/>
      <c r="I71" s="84"/>
      <c r="J71" s="84"/>
      <c r="K71" s="84"/>
      <c r="L71" s="84"/>
      <c r="M71" s="81"/>
      <c r="N71" s="82" t="str">
        <f t="shared" si="2"/>
        <v/>
      </c>
      <c r="O71" s="82" t="str">
        <f>IF(N71="","",N71+O70)</f>
        <v/>
      </c>
    </row>
    <row r="72" spans="1:15" x14ac:dyDescent="0.25">
      <c r="A72" s="103"/>
      <c r="B72" s="108"/>
      <c r="C72" s="105"/>
      <c r="D72" s="80">
        <v>3</v>
      </c>
      <c r="E72" s="86"/>
      <c r="F72" s="82" t="str">
        <f>IF($E72="","",IF(ISNA(VLOOKUP($E72,DD!$A$2:$C$150,2,0)),"NO SUCH DIVE",VLOOKUP($E72,DD!$A$2:$C$150,2,0)))</f>
        <v/>
      </c>
      <c r="G72" s="80" t="str">
        <f>IF($E72="","",IF(ISNA(VLOOKUP($E72,DD!$A$2:$C$150,3,0)),"",VLOOKUP($E72,DD!$A$2:$C$150,3,0)))</f>
        <v/>
      </c>
      <c r="H72" s="84"/>
      <c r="I72" s="84"/>
      <c r="J72" s="84"/>
      <c r="K72" s="84"/>
      <c r="L72" s="84"/>
      <c r="M72" s="81"/>
      <c r="N72" s="82" t="str">
        <f t="shared" si="2"/>
        <v/>
      </c>
      <c r="O72" s="82" t="str">
        <f>IF(N72="","",N72+O71)</f>
        <v/>
      </c>
    </row>
    <row r="73" spans="1:15" x14ac:dyDescent="0.25">
      <c r="A73" s="103"/>
      <c r="B73" s="108"/>
      <c r="C73" s="105"/>
      <c r="D73" s="80">
        <v>4</v>
      </c>
      <c r="E73" s="86"/>
      <c r="F73" s="82" t="str">
        <f>IF($E73="","",IF(ISNA(VLOOKUP($E73,DD!$A$2:$C$150,2,0)),"NO SUCH DIVE",VLOOKUP($E73,DD!$A$2:$C$150,2,0)))</f>
        <v/>
      </c>
      <c r="G73" s="80" t="str">
        <f>IF($E73="","",IF(ISNA(VLOOKUP($E73,DD!$A$2:$C$150,3,0)),"",VLOOKUP($E73,DD!$A$2:$C$150,3,0)))</f>
        <v/>
      </c>
      <c r="H73" s="84"/>
      <c r="I73" s="84"/>
      <c r="J73" s="84"/>
      <c r="K73" s="84"/>
      <c r="L73" s="84"/>
      <c r="M73" s="81"/>
      <c r="N73" s="82" t="str">
        <f t="shared" si="2"/>
        <v/>
      </c>
      <c r="O73" s="85">
        <f>IF(N73="",0,N73+O72)</f>
        <v>0</v>
      </c>
    </row>
    <row r="74" spans="1:15" x14ac:dyDescent="0.25">
      <c r="A74" s="97">
        <v>19</v>
      </c>
      <c r="B74" s="107"/>
      <c r="C74" s="106"/>
      <c r="D74" s="46">
        <v>1</v>
      </c>
      <c r="E74" s="50"/>
      <c r="F74" s="45" t="str">
        <f>IF($E74="","",IF(ISNA(VLOOKUP($E74,DD!$A$2:$C$150,2,0)),"NO SUCH DIVE",VLOOKUP($E74,DD!$A$2:$C$150,2,0)))</f>
        <v/>
      </c>
      <c r="G74" s="51" t="str">
        <f>IF($E74="","",IF(ISNA(VLOOKUP($E74,DD!$A$2:$C$150,3,0)),"",VLOOKUP($E74,DD!$A$2:$C$150,3,0)))</f>
        <v/>
      </c>
      <c r="H74" s="52"/>
      <c r="I74" s="52"/>
      <c r="J74" s="52"/>
      <c r="K74" s="52"/>
      <c r="L74" s="52"/>
      <c r="M74" s="50"/>
      <c r="N74" s="45" t="str">
        <f t="shared" si="2"/>
        <v/>
      </c>
      <c r="O74" s="45" t="str">
        <f>IF(N74="","",N74)</f>
        <v/>
      </c>
    </row>
    <row r="75" spans="1:15" ht="15" customHeight="1" x14ac:dyDescent="0.25">
      <c r="A75" s="97"/>
      <c r="B75" s="107"/>
      <c r="C75" s="106"/>
      <c r="D75" s="46">
        <v>2</v>
      </c>
      <c r="E75" s="62"/>
      <c r="F75" s="45" t="str">
        <f>IF($E75="","",IF(ISNA(VLOOKUP($E75,DD!$A$2:$C$150,2,0)),"NO SUCH DIVE",VLOOKUP($E75,DD!$A$2:$C$150,2,0)))</f>
        <v/>
      </c>
      <c r="G75" s="51" t="str">
        <f>IF($E75="","",IF(ISNA(VLOOKUP($E75,DD!$A$2:$C$150,3,0)),"",VLOOKUP($E75,DD!$A$2:$C$150,3,0)))</f>
        <v/>
      </c>
      <c r="H75" s="52"/>
      <c r="I75" s="52"/>
      <c r="J75" s="52"/>
      <c r="K75" s="52"/>
      <c r="L75" s="52"/>
      <c r="M75" s="50"/>
      <c r="N75" s="45" t="str">
        <f t="shared" si="2"/>
        <v/>
      </c>
      <c r="O75" s="45" t="str">
        <f>IF(N75="","",N75+O74)</f>
        <v/>
      </c>
    </row>
    <row r="76" spans="1:15" x14ac:dyDescent="0.25">
      <c r="A76" s="97"/>
      <c r="B76" s="107"/>
      <c r="C76" s="106"/>
      <c r="D76" s="46">
        <v>3</v>
      </c>
      <c r="E76" s="62"/>
      <c r="F76" s="45" t="str">
        <f>IF($E76="","",IF(ISNA(VLOOKUP($E76,DD!$A$2:$C$150,2,0)),"NO SUCH DIVE",VLOOKUP($E76,DD!$A$2:$C$150,2,0)))</f>
        <v/>
      </c>
      <c r="G76" s="46" t="str">
        <f>IF($E76="","",IF(ISNA(VLOOKUP($E76,DD!$A$2:$C$150,3,0)),"",VLOOKUP($E76,DD!$A$2:$C$150,3,0)))</f>
        <v/>
      </c>
      <c r="H76" s="52"/>
      <c r="I76" s="52"/>
      <c r="J76" s="52"/>
      <c r="K76" s="52"/>
      <c r="L76" s="52"/>
      <c r="M76" s="50"/>
      <c r="N76" s="45" t="str">
        <f t="shared" si="2"/>
        <v/>
      </c>
      <c r="O76" s="45" t="str">
        <f>IF(N76="","",N76+O75)</f>
        <v/>
      </c>
    </row>
    <row r="77" spans="1:15" x14ac:dyDescent="0.25">
      <c r="A77" s="97"/>
      <c r="B77" s="107"/>
      <c r="C77" s="106"/>
      <c r="D77" s="46">
        <v>4</v>
      </c>
      <c r="E77" s="62"/>
      <c r="F77" s="45" t="str">
        <f>IF($E77="","",IF(ISNA(VLOOKUP($E77,DD!$A$2:$C$150,2,0)),"NO SUCH DIVE",VLOOKUP($E77,DD!$A$2:$C$150,2,0)))</f>
        <v/>
      </c>
      <c r="G77" s="46" t="str">
        <f>IF($E77="","",IF(ISNA(VLOOKUP($E77,DD!$A$2:$C$150,3,0)),"",VLOOKUP($E77,DD!$A$2:$C$150,3,0)))</f>
        <v/>
      </c>
      <c r="H77" s="52"/>
      <c r="I77" s="52"/>
      <c r="J77" s="52"/>
      <c r="K77" s="52"/>
      <c r="L77" s="52"/>
      <c r="M77" s="50"/>
      <c r="N77" s="45" t="str">
        <f t="shared" si="2"/>
        <v/>
      </c>
      <c r="O77" s="54">
        <f>IF(N77="",0,N77+O76)</f>
        <v>0</v>
      </c>
    </row>
    <row r="78" spans="1:15" x14ac:dyDescent="0.25">
      <c r="A78" s="103">
        <v>20</v>
      </c>
      <c r="B78" s="108"/>
      <c r="C78" s="105"/>
      <c r="D78" s="80">
        <v>1</v>
      </c>
      <c r="E78" s="81"/>
      <c r="F78" s="82" t="str">
        <f>IF($E78="","",IF(ISNA(VLOOKUP($E78,DD!$A$2:$C$150,2,0)),"NO SUCH DIVE",VLOOKUP($E78,DD!$A$2:$C$150,2,0)))</f>
        <v/>
      </c>
      <c r="G78" s="83" t="str">
        <f>IF($E78="","",IF(ISNA(VLOOKUP($E78,DD!$A$2:$C$150,3,0)),"",VLOOKUP($E78,DD!$A$2:$C$150,3,0)))</f>
        <v/>
      </c>
      <c r="H78" s="84"/>
      <c r="I78" s="84"/>
      <c r="J78" s="84"/>
      <c r="K78" s="84"/>
      <c r="L78" s="84"/>
      <c r="M78" s="81"/>
      <c r="N78" s="82" t="str">
        <f t="shared" si="2"/>
        <v/>
      </c>
      <c r="O78" s="82" t="str">
        <f>IF(N78="","",N78)</f>
        <v/>
      </c>
    </row>
    <row r="79" spans="1:15" x14ac:dyDescent="0.25">
      <c r="A79" s="103"/>
      <c r="B79" s="108"/>
      <c r="C79" s="105"/>
      <c r="D79" s="80">
        <v>2</v>
      </c>
      <c r="E79" s="86"/>
      <c r="F79" s="82" t="str">
        <f>IF($E79="","",IF(ISNA(VLOOKUP($E79,DD!$A$2:$C$150,2,0)),"NO SUCH DIVE",VLOOKUP($E79,DD!$A$2:$C$150,2,0)))</f>
        <v/>
      </c>
      <c r="G79" s="83" t="str">
        <f>IF($E79="","",IF(ISNA(VLOOKUP($E79,DD!$A$2:$C$150,3,0)),"",VLOOKUP($E79,DD!$A$2:$C$150,3,0)))</f>
        <v/>
      </c>
      <c r="H79" s="84"/>
      <c r="I79" s="84"/>
      <c r="J79" s="84"/>
      <c r="K79" s="84"/>
      <c r="L79" s="84"/>
      <c r="M79" s="81"/>
      <c r="N79" s="82" t="str">
        <f t="shared" si="2"/>
        <v/>
      </c>
      <c r="O79" s="82" t="str">
        <f>IF(N79="","",N79+O78)</f>
        <v/>
      </c>
    </row>
    <row r="80" spans="1:15" x14ac:dyDescent="0.25">
      <c r="A80" s="103"/>
      <c r="B80" s="108"/>
      <c r="C80" s="105"/>
      <c r="D80" s="80">
        <v>3</v>
      </c>
      <c r="E80" s="86"/>
      <c r="F80" s="82" t="str">
        <f>IF($E80="","",IF(ISNA(VLOOKUP($E80,DD!$A$2:$C$150,2,0)),"NO SUCH DIVE",VLOOKUP($E80,DD!$A$2:$C$150,2,0)))</f>
        <v/>
      </c>
      <c r="G80" s="80" t="str">
        <f>IF($E80="","",IF(ISNA(VLOOKUP($E80,DD!$A$2:$C$150,3,0)),"",VLOOKUP($E80,DD!$A$2:$C$150,3,0)))</f>
        <v/>
      </c>
      <c r="H80" s="84"/>
      <c r="I80" s="84"/>
      <c r="J80" s="84"/>
      <c r="K80" s="84"/>
      <c r="L80" s="84"/>
      <c r="M80" s="81"/>
      <c r="N80" s="82" t="str">
        <f t="shared" si="2"/>
        <v/>
      </c>
      <c r="O80" s="82" t="str">
        <f>IF(N80="","",N80+O79)</f>
        <v/>
      </c>
    </row>
    <row r="81" spans="1:15" x14ac:dyDescent="0.25">
      <c r="A81" s="103"/>
      <c r="B81" s="108"/>
      <c r="C81" s="105"/>
      <c r="D81" s="80">
        <v>4</v>
      </c>
      <c r="E81" s="86"/>
      <c r="F81" s="82" t="str">
        <f>IF($E81="","",IF(ISNA(VLOOKUP($E81,DD!$A$2:$C$150,2,0)),"NO SUCH DIVE",VLOOKUP($E81,DD!$A$2:$C$150,2,0)))</f>
        <v/>
      </c>
      <c r="G81" s="80" t="str">
        <f>IF($E81="","",IF(ISNA(VLOOKUP($E81,DD!$A$2:$C$150,3,0)),"",VLOOKUP($E81,DD!$A$2:$C$150,3,0)))</f>
        <v/>
      </c>
      <c r="H81" s="84"/>
      <c r="I81" s="84"/>
      <c r="J81" s="84"/>
      <c r="K81" s="84"/>
      <c r="L81" s="84"/>
      <c r="M81" s="81"/>
      <c r="N81" s="82" t="str">
        <f t="shared" si="2"/>
        <v/>
      </c>
      <c r="O81" s="85">
        <f>IF(N81="",0,N81+O80)</f>
        <v>0</v>
      </c>
    </row>
    <row r="82" spans="1:15" x14ac:dyDescent="0.25">
      <c r="A82" s="97">
        <v>21</v>
      </c>
      <c r="B82" s="107"/>
      <c r="C82" s="106"/>
      <c r="D82" s="46">
        <v>1</v>
      </c>
      <c r="E82" s="50"/>
      <c r="F82" s="45" t="str">
        <f>IF($E82="","",IF(ISNA(VLOOKUP($E82,DD!$A$2:$C$150,2,0)),"NO SUCH DIVE",VLOOKUP($E82,DD!$A$2:$C$150,2,0)))</f>
        <v/>
      </c>
      <c r="G82" s="51" t="str">
        <f>IF($E82="","",IF(ISNA(VLOOKUP($E82,DD!$A$2:$C$150,3,0)),"",VLOOKUP($E82,DD!$A$2:$C$150,3,0)))</f>
        <v/>
      </c>
      <c r="H82" s="52"/>
      <c r="I82" s="52"/>
      <c r="J82" s="52"/>
      <c r="K82" s="52"/>
      <c r="L82" s="52"/>
      <c r="M82" s="50"/>
      <c r="N82" s="45" t="str">
        <f t="shared" si="2"/>
        <v/>
      </c>
      <c r="O82" s="45" t="str">
        <f>IF(N82="","",N82)</f>
        <v/>
      </c>
    </row>
    <row r="83" spans="1:15" x14ac:dyDescent="0.25">
      <c r="A83" s="97"/>
      <c r="B83" s="107"/>
      <c r="C83" s="106"/>
      <c r="D83" s="46">
        <v>2</v>
      </c>
      <c r="E83" s="62"/>
      <c r="F83" s="45" t="str">
        <f>IF($E83="","",IF(ISNA(VLOOKUP($E83,DD!$A$2:$C$150,2,0)),"NO SUCH DIVE",VLOOKUP($E83,DD!$A$2:$C$150,2,0)))</f>
        <v/>
      </c>
      <c r="G83" s="51" t="str">
        <f>IF($E83="","",IF(ISNA(VLOOKUP($E83,DD!$A$2:$C$150,3,0)),"",VLOOKUP($E83,DD!$A$2:$C$150,3,0)))</f>
        <v/>
      </c>
      <c r="H83" s="52"/>
      <c r="I83" s="52"/>
      <c r="J83" s="52"/>
      <c r="K83" s="52"/>
      <c r="L83" s="52"/>
      <c r="M83" s="50"/>
      <c r="N83" s="45" t="str">
        <f t="shared" si="2"/>
        <v/>
      </c>
      <c r="O83" s="45" t="str">
        <f>IF(N83="","",N83+O82)</f>
        <v/>
      </c>
    </row>
    <row r="84" spans="1:15" x14ac:dyDescent="0.25">
      <c r="A84" s="97"/>
      <c r="B84" s="107"/>
      <c r="C84" s="106"/>
      <c r="D84" s="46">
        <v>3</v>
      </c>
      <c r="E84" s="62"/>
      <c r="F84" s="45" t="str">
        <f>IF($E84="","",IF(ISNA(VLOOKUP($E84,DD!$A$2:$C$150,2,0)),"NO SUCH DIVE",VLOOKUP($E84,DD!$A$2:$C$150,2,0)))</f>
        <v/>
      </c>
      <c r="G84" s="46" t="str">
        <f>IF($E84="","",IF(ISNA(VLOOKUP($E84,DD!$A$2:$C$150,3,0)),"",VLOOKUP($E84,DD!$A$2:$C$150,3,0)))</f>
        <v/>
      </c>
      <c r="H84" s="52"/>
      <c r="I84" s="52"/>
      <c r="J84" s="52"/>
      <c r="K84" s="52"/>
      <c r="L84" s="52"/>
      <c r="M84" s="50"/>
      <c r="N84" s="45" t="str">
        <f t="shared" si="2"/>
        <v/>
      </c>
      <c r="O84" s="45" t="str">
        <f>IF(N84="","",N84+O83)</f>
        <v/>
      </c>
    </row>
    <row r="85" spans="1:15" x14ac:dyDescent="0.25">
      <c r="A85" s="97"/>
      <c r="B85" s="107"/>
      <c r="C85" s="106"/>
      <c r="D85" s="46">
        <v>4</v>
      </c>
      <c r="E85" s="62"/>
      <c r="F85" s="45" t="str">
        <f>IF($E85="","",IF(ISNA(VLOOKUP($E85,DD!$A$2:$C$150,2,0)),"NO SUCH DIVE",VLOOKUP($E85,DD!$A$2:$C$150,2,0)))</f>
        <v/>
      </c>
      <c r="G85" s="46" t="str">
        <f>IF($E85="","",IF(ISNA(VLOOKUP($E85,DD!$A$2:$C$150,3,0)),"",VLOOKUP($E85,DD!$A$2:$C$150,3,0)))</f>
        <v/>
      </c>
      <c r="H85" s="52"/>
      <c r="I85" s="52"/>
      <c r="J85" s="52"/>
      <c r="K85" s="52"/>
      <c r="L85" s="52"/>
      <c r="M85" s="50"/>
      <c r="N85" s="45" t="str">
        <f t="shared" si="2"/>
        <v/>
      </c>
      <c r="O85" s="54">
        <f>IF(N85="",0,N85+O84)</f>
        <v>0</v>
      </c>
    </row>
    <row r="86" spans="1:15" x14ac:dyDescent="0.25">
      <c r="A86" s="103">
        <v>22</v>
      </c>
      <c r="B86" s="108"/>
      <c r="C86" s="105"/>
      <c r="D86" s="80">
        <v>1</v>
      </c>
      <c r="E86" s="81"/>
      <c r="F86" s="82" t="str">
        <f>IF($E86="","",IF(ISNA(VLOOKUP($E86,DD!$A$2:$C$150,2,0)),"NO SUCH DIVE",VLOOKUP($E86,DD!$A$2:$C$150,2,0)))</f>
        <v/>
      </c>
      <c r="G86" s="83" t="str">
        <f>IF($E86="","",IF(ISNA(VLOOKUP($E86,DD!$A$2:$C$150,3,0)),"",VLOOKUP($E86,DD!$A$2:$C$150,3,0)))</f>
        <v/>
      </c>
      <c r="H86" s="84"/>
      <c r="I86" s="84"/>
      <c r="J86" s="84"/>
      <c r="K86" s="84"/>
      <c r="L86" s="84"/>
      <c r="M86" s="81"/>
      <c r="N86" s="82" t="str">
        <f t="shared" si="2"/>
        <v/>
      </c>
      <c r="O86" s="82" t="str">
        <f>IF(N86="","",N86)</f>
        <v/>
      </c>
    </row>
    <row r="87" spans="1:15" x14ac:dyDescent="0.25">
      <c r="A87" s="103"/>
      <c r="B87" s="108"/>
      <c r="C87" s="105"/>
      <c r="D87" s="80">
        <v>2</v>
      </c>
      <c r="E87" s="86"/>
      <c r="F87" s="82" t="str">
        <f>IF($E87="","",IF(ISNA(VLOOKUP($E87,DD!$A$2:$C$150,2,0)),"NO SUCH DIVE",VLOOKUP($E87,DD!$A$2:$C$150,2,0)))</f>
        <v/>
      </c>
      <c r="G87" s="83" t="str">
        <f>IF($E87="","",IF(ISNA(VLOOKUP($E87,DD!$A$2:$C$150,3,0)),"",VLOOKUP($E87,DD!$A$2:$C$150,3,0)))</f>
        <v/>
      </c>
      <c r="H87" s="84"/>
      <c r="I87" s="84"/>
      <c r="J87" s="84"/>
      <c r="K87" s="84"/>
      <c r="L87" s="84"/>
      <c r="M87" s="81"/>
      <c r="N87" s="82" t="str">
        <f t="shared" si="2"/>
        <v/>
      </c>
      <c r="O87" s="82" t="str">
        <f>IF(N87="","",N87+O86)</f>
        <v/>
      </c>
    </row>
    <row r="88" spans="1:15" x14ac:dyDescent="0.25">
      <c r="A88" s="103"/>
      <c r="B88" s="108"/>
      <c r="C88" s="105"/>
      <c r="D88" s="80">
        <v>3</v>
      </c>
      <c r="E88" s="86"/>
      <c r="F88" s="82" t="str">
        <f>IF($E88="","",IF(ISNA(VLOOKUP($E88,DD!$A$2:$C$150,2,0)),"NO SUCH DIVE",VLOOKUP($E88,DD!$A$2:$C$150,2,0)))</f>
        <v/>
      </c>
      <c r="G88" s="80" t="str">
        <f>IF($E88="","",IF(ISNA(VLOOKUP($E88,DD!$A$2:$C$150,3,0)),"",VLOOKUP($E88,DD!$A$2:$C$150,3,0)))</f>
        <v/>
      </c>
      <c r="H88" s="84"/>
      <c r="I88" s="84"/>
      <c r="J88" s="84"/>
      <c r="K88" s="84"/>
      <c r="L88" s="84"/>
      <c r="M88" s="81"/>
      <c r="N88" s="82" t="str">
        <f t="shared" si="2"/>
        <v/>
      </c>
      <c r="O88" s="82" t="str">
        <f>IF(N88="","",N88+O87)</f>
        <v/>
      </c>
    </row>
    <row r="89" spans="1:15" x14ac:dyDescent="0.25">
      <c r="A89" s="103"/>
      <c r="B89" s="108"/>
      <c r="C89" s="105"/>
      <c r="D89" s="80">
        <v>4</v>
      </c>
      <c r="E89" s="86"/>
      <c r="F89" s="82" t="str">
        <f>IF($E89="","",IF(ISNA(VLOOKUP($E89,DD!$A$2:$C$150,2,0)),"NO SUCH DIVE",VLOOKUP($E89,DD!$A$2:$C$150,2,0)))</f>
        <v/>
      </c>
      <c r="G89" s="80" t="str">
        <f>IF($E89="","",IF(ISNA(VLOOKUP($E89,DD!$A$2:$C$150,3,0)),"",VLOOKUP($E89,DD!$A$2:$C$150,3,0)))</f>
        <v/>
      </c>
      <c r="H89" s="84"/>
      <c r="I89" s="84"/>
      <c r="J89" s="84"/>
      <c r="K89" s="84"/>
      <c r="L89" s="84"/>
      <c r="M89" s="81"/>
      <c r="N89" s="82" t="str">
        <f t="shared" si="2"/>
        <v/>
      </c>
      <c r="O89" s="85">
        <f>IF(N89="",0,N89+O88)</f>
        <v>0</v>
      </c>
    </row>
    <row r="90" spans="1:15" x14ac:dyDescent="0.25">
      <c r="A90" s="97">
        <v>23</v>
      </c>
      <c r="B90" s="107"/>
      <c r="C90" s="106"/>
      <c r="D90" s="46">
        <v>1</v>
      </c>
      <c r="E90" s="50"/>
      <c r="F90" s="45" t="str">
        <f>IF($E90="","",IF(ISNA(VLOOKUP($E90,DD!$A$2:$C$150,2,0)),"NO SUCH DIVE",VLOOKUP($E90,DD!$A$2:$C$150,2,0)))</f>
        <v/>
      </c>
      <c r="G90" s="51" t="str">
        <f>IF($E90="","",IF(ISNA(VLOOKUP($E90,DD!$A$2:$C$150,3,0)),"",VLOOKUP($E90,DD!$A$2:$C$150,3,0)))</f>
        <v/>
      </c>
      <c r="H90" s="52"/>
      <c r="I90" s="52"/>
      <c r="J90" s="52"/>
      <c r="K90" s="52"/>
      <c r="L90" s="52"/>
      <c r="M90" s="50"/>
      <c r="N90" s="45" t="str">
        <f t="shared" si="2"/>
        <v/>
      </c>
      <c r="O90" s="45" t="str">
        <f>IF(N90="","",N90)</f>
        <v/>
      </c>
    </row>
    <row r="91" spans="1:15" x14ac:dyDescent="0.25">
      <c r="A91" s="97"/>
      <c r="B91" s="107"/>
      <c r="C91" s="106"/>
      <c r="D91" s="46">
        <v>2</v>
      </c>
      <c r="E91" s="62"/>
      <c r="F91" s="45" t="str">
        <f>IF($E91="","",IF(ISNA(VLOOKUP($E91,DD!$A$2:$C$150,2,0)),"NO SUCH DIVE",VLOOKUP($E91,DD!$A$2:$C$150,2,0)))</f>
        <v/>
      </c>
      <c r="G91" s="51" t="str">
        <f>IF($E91="","",IF(ISNA(VLOOKUP($E91,DD!$A$2:$C$150,3,0)),"",VLOOKUP($E91,DD!$A$2:$C$150,3,0)))</f>
        <v/>
      </c>
      <c r="H91" s="52"/>
      <c r="I91" s="52"/>
      <c r="J91" s="52"/>
      <c r="K91" s="52"/>
      <c r="L91" s="52"/>
      <c r="M91" s="50"/>
      <c r="N91" s="45" t="str">
        <f t="shared" si="2"/>
        <v/>
      </c>
      <c r="O91" s="45" t="str">
        <f>IF(N91="","",N91+O90)</f>
        <v/>
      </c>
    </row>
    <row r="92" spans="1:15" x14ac:dyDescent="0.25">
      <c r="A92" s="97"/>
      <c r="B92" s="107"/>
      <c r="C92" s="106"/>
      <c r="D92" s="46">
        <v>3</v>
      </c>
      <c r="E92" s="62"/>
      <c r="F92" s="45" t="str">
        <f>IF($E92="","",IF(ISNA(VLOOKUP($E92,DD!$A$2:$C$150,2,0)),"NO SUCH DIVE",VLOOKUP($E92,DD!$A$2:$C$150,2,0)))</f>
        <v/>
      </c>
      <c r="G92" s="46" t="str">
        <f>IF($E92="","",IF(ISNA(VLOOKUP($E92,DD!$A$2:$C$150,3,0)),"",VLOOKUP($E92,DD!$A$2:$C$150,3,0)))</f>
        <v/>
      </c>
      <c r="H92" s="52"/>
      <c r="I92" s="52"/>
      <c r="J92" s="52"/>
      <c r="K92" s="52"/>
      <c r="L92" s="52"/>
      <c r="M92" s="50"/>
      <c r="N92" s="45" t="str">
        <f t="shared" si="2"/>
        <v/>
      </c>
      <c r="O92" s="45" t="str">
        <f>IF(N92="","",N92+O91)</f>
        <v/>
      </c>
    </row>
    <row r="93" spans="1:15" x14ac:dyDescent="0.25">
      <c r="A93" s="97"/>
      <c r="B93" s="107"/>
      <c r="C93" s="106"/>
      <c r="D93" s="46">
        <v>4</v>
      </c>
      <c r="E93" s="62"/>
      <c r="F93" s="45" t="str">
        <f>IF($E93="","",IF(ISNA(VLOOKUP($E93,DD!$A$2:$C$150,2,0)),"NO SUCH DIVE",VLOOKUP($E93,DD!$A$2:$C$150,2,0)))</f>
        <v/>
      </c>
      <c r="G93" s="46" t="str">
        <f>IF($E93="","",IF(ISNA(VLOOKUP($E93,DD!$A$2:$C$150,3,0)),"",VLOOKUP($E93,DD!$A$2:$C$150,3,0)))</f>
        <v/>
      </c>
      <c r="H93" s="52"/>
      <c r="I93" s="52"/>
      <c r="J93" s="52"/>
      <c r="K93" s="52"/>
      <c r="L93" s="52"/>
      <c r="M93" s="50"/>
      <c r="N93" s="45" t="str">
        <f t="shared" si="2"/>
        <v/>
      </c>
      <c r="O93" s="54">
        <f>IF(N93="",0,N93+O92)</f>
        <v>0</v>
      </c>
    </row>
    <row r="94" spans="1:15" x14ac:dyDescent="0.25">
      <c r="A94" s="103">
        <v>24</v>
      </c>
      <c r="B94" s="108"/>
      <c r="C94" s="105"/>
      <c r="D94" s="80">
        <v>1</v>
      </c>
      <c r="E94" s="81"/>
      <c r="F94" s="82" t="str">
        <f>IF($E94="","",IF(ISNA(VLOOKUP($E94,DD!$A$2:$C$150,2,0)),"NO SUCH DIVE",VLOOKUP($E94,DD!$A$2:$C$150,2,0)))</f>
        <v/>
      </c>
      <c r="G94" s="83" t="str">
        <f>IF($E94="","",IF(ISNA(VLOOKUP($E94,DD!$A$2:$C$150,3,0)),"",VLOOKUP($E94,DD!$A$2:$C$150,3,0)))</f>
        <v/>
      </c>
      <c r="H94" s="84"/>
      <c r="I94" s="84"/>
      <c r="J94" s="84"/>
      <c r="K94" s="84"/>
      <c r="L94" s="84"/>
      <c r="M94" s="81"/>
      <c r="N94" s="82" t="str">
        <f t="shared" si="2"/>
        <v/>
      </c>
      <c r="O94" s="82" t="str">
        <f>IF(N94="","",N94)</f>
        <v/>
      </c>
    </row>
    <row r="95" spans="1:15" x14ac:dyDescent="0.25">
      <c r="A95" s="103"/>
      <c r="B95" s="108"/>
      <c r="C95" s="105"/>
      <c r="D95" s="80">
        <v>2</v>
      </c>
      <c r="E95" s="86"/>
      <c r="F95" s="82" t="str">
        <f>IF($E95="","",IF(ISNA(VLOOKUP($E95,DD!$A$2:$C$150,2,0)),"NO SUCH DIVE",VLOOKUP($E95,DD!$A$2:$C$150,2,0)))</f>
        <v/>
      </c>
      <c r="G95" s="83" t="str">
        <f>IF($E95="","",IF(ISNA(VLOOKUP($E95,DD!$A$2:$C$150,3,0)),"",VLOOKUP($E95,DD!$A$2:$C$150,3,0)))</f>
        <v/>
      </c>
      <c r="H95" s="84"/>
      <c r="I95" s="84"/>
      <c r="J95" s="84"/>
      <c r="K95" s="84"/>
      <c r="L95" s="84"/>
      <c r="M95" s="81"/>
      <c r="N95" s="82" t="str">
        <f t="shared" si="2"/>
        <v/>
      </c>
      <c r="O95" s="82" t="str">
        <f>IF(N95="","",N95+O94)</f>
        <v/>
      </c>
    </row>
    <row r="96" spans="1:15" x14ac:dyDescent="0.25">
      <c r="A96" s="103"/>
      <c r="B96" s="108"/>
      <c r="C96" s="105"/>
      <c r="D96" s="80">
        <v>3</v>
      </c>
      <c r="E96" s="86"/>
      <c r="F96" s="82" t="str">
        <f>IF($E96="","",IF(ISNA(VLOOKUP($E96,DD!$A$2:$C$150,2,0)),"NO SUCH DIVE",VLOOKUP($E96,DD!$A$2:$C$150,2,0)))</f>
        <v/>
      </c>
      <c r="G96" s="80" t="str">
        <f>IF($E96="","",IF(ISNA(VLOOKUP($E96,DD!$A$2:$C$150,3,0)),"",VLOOKUP($E96,DD!$A$2:$C$150,3,0)))</f>
        <v/>
      </c>
      <c r="H96" s="84"/>
      <c r="I96" s="84"/>
      <c r="J96" s="84"/>
      <c r="K96" s="84"/>
      <c r="L96" s="84"/>
      <c r="M96" s="81"/>
      <c r="N96" s="82" t="str">
        <f t="shared" si="2"/>
        <v/>
      </c>
      <c r="O96" s="82" t="str">
        <f>IF(N96="","",N96+O95)</f>
        <v/>
      </c>
    </row>
    <row r="97" spans="1:20" x14ac:dyDescent="0.25">
      <c r="A97" s="103"/>
      <c r="B97" s="108"/>
      <c r="C97" s="105"/>
      <c r="D97" s="80">
        <v>4</v>
      </c>
      <c r="E97" s="86"/>
      <c r="F97" s="82" t="str">
        <f>IF($E97="","",IF(ISNA(VLOOKUP($E97,DD!$A$2:$C$150,2,0)),"NO SUCH DIVE",VLOOKUP($E97,DD!$A$2:$C$150,2,0)))</f>
        <v/>
      </c>
      <c r="G97" s="80" t="str">
        <f>IF($E97="","",IF(ISNA(VLOOKUP($E97,DD!$A$2:$C$150,3,0)),"",VLOOKUP($E97,DD!$A$2:$C$150,3,0)))</f>
        <v/>
      </c>
      <c r="H97" s="84"/>
      <c r="I97" s="84"/>
      <c r="J97" s="84"/>
      <c r="K97" s="84"/>
      <c r="L97" s="84"/>
      <c r="M97" s="81"/>
      <c r="N97" s="82" t="str">
        <f t="shared" si="2"/>
        <v/>
      </c>
      <c r="O97" s="85">
        <f>IF(N97="",0,N97+O96)</f>
        <v>0</v>
      </c>
    </row>
    <row r="99" spans="1:20" ht="30" x14ac:dyDescent="0.25">
      <c r="C99" s="63" t="s">
        <v>78</v>
      </c>
      <c r="D99" s="64" t="s">
        <v>79</v>
      </c>
      <c r="E99" s="65" t="s">
        <v>80</v>
      </c>
      <c r="F99" s="65" t="s">
        <v>27</v>
      </c>
      <c r="G99" s="65" t="s">
        <v>33</v>
      </c>
      <c r="H99" s="65" t="s">
        <v>81</v>
      </c>
      <c r="I99" s="66" t="s">
        <v>30</v>
      </c>
      <c r="R99" s="45" t="str">
        <f>INFO!$B$4</f>
        <v>Side</v>
      </c>
      <c r="S99" s="45" t="str">
        <f>INFO!$B$5</f>
        <v>ALPS</v>
      </c>
    </row>
    <row r="100" spans="1:20" x14ac:dyDescent="0.25">
      <c r="C100" s="67">
        <f>IF(E100&lt;1,0,1)</f>
        <v>1</v>
      </c>
      <c r="D100" s="68">
        <f>IF(OR(C100&lt;1,H100&lt;&gt;"",COUNTIF(T$100:T100,T100)&gt;3),"",VLOOKUP(C100-COUNTA(H$100:H100),DD!$E$24:$F$49,2))</f>
        <v>16</v>
      </c>
      <c r="E100" s="69">
        <f>IF(LARGE($R$2:$R$25,1)&lt;1,0,LARGE($R$2:$R$25,1))</f>
        <v>124.000007</v>
      </c>
      <c r="F100" s="70" t="str">
        <f t="shared" ref="F100:F123" si="3">VLOOKUP(E100,$R$2:$T$26,2,0)</f>
        <v>Anthony Mier</v>
      </c>
      <c r="G100" s="68" t="str">
        <f t="shared" ref="G100:G123" si="4">VLOOKUP(E100,$R$2:$T$26,3,0)</f>
        <v>WLRC</v>
      </c>
      <c r="H100" s="71"/>
      <c r="I100" s="72" t="str">
        <f t="shared" ref="I100:I122" si="5">IF(AND(OR(C100=C99,C100=C101),C100&lt;&gt;0),"TIE","")</f>
        <v/>
      </c>
      <c r="R100" s="45">
        <f t="shared" ref="R100:R123" si="6">IF(G100=$R$99,D100,0)</f>
        <v>0</v>
      </c>
      <c r="S100" s="45">
        <f t="shared" ref="S100:S123" si="7">IF(G100=$S$99,D100,0)</f>
        <v>0</v>
      </c>
      <c r="T100" s="73" t="str">
        <f t="shared" ref="T100:T123" si="8">G100&amp;H100</f>
        <v>WLRC</v>
      </c>
    </row>
    <row r="101" spans="1:20" x14ac:dyDescent="0.25">
      <c r="C101" s="67">
        <f>IF(E101&lt;1,0,IF(INT(E101*100)=INT(E100*100),C100,2))</f>
        <v>2</v>
      </c>
      <c r="D101" s="68">
        <f>IF(OR(C101&lt;1,H101&lt;&gt;"",COUNTIF(T$100:T101,T101)&gt;3),"",VLOOKUP(C101-COUNTA(H$100:H101),DD!$E$24:$F$49,2))</f>
        <v>14</v>
      </c>
      <c r="E101" s="69">
        <f>IF(LARGE($R$2:$R$25,2)&lt;1,0,LARGE($R$2:$R$25,2))</f>
        <v>117.40000400000001</v>
      </c>
      <c r="F101" s="70" t="str">
        <f t="shared" si="3"/>
        <v>Diego Garcia Acevedo</v>
      </c>
      <c r="G101" s="68" t="str">
        <f t="shared" si="4"/>
        <v>WSTMT</v>
      </c>
      <c r="H101" s="71"/>
      <c r="I101" s="72" t="str">
        <f t="shared" si="5"/>
        <v/>
      </c>
      <c r="R101" s="45">
        <f t="shared" si="6"/>
        <v>0</v>
      </c>
      <c r="S101" s="45">
        <f t="shared" si="7"/>
        <v>0</v>
      </c>
      <c r="T101" s="73" t="str">
        <f t="shared" si="8"/>
        <v>WSTMT</v>
      </c>
    </row>
    <row r="102" spans="1:20" x14ac:dyDescent="0.25">
      <c r="C102" s="67">
        <f>IF(E102&lt;1,0,IF(INT(E102*100)=INT(E101*100),C101,3))</f>
        <v>3</v>
      </c>
      <c r="D102" s="68">
        <f>IF(OR(C102&lt;1,H102&lt;&gt;"",COUNTIF(T$100:T102,T102)&gt;3),"",VLOOKUP(C102-COUNTA(H$100:H102),DD!$E$24:$F$49,2))</f>
        <v>12</v>
      </c>
      <c r="E102" s="69">
        <f>IF(LARGE($R$2:$R$25,3)&lt;1,0,LARGE($R$2:$R$25,3))</f>
        <v>115.900006</v>
      </c>
      <c r="F102" s="70" t="str">
        <f t="shared" si="3"/>
        <v>Edouard de Salles Laterriere</v>
      </c>
      <c r="G102" s="68" t="str">
        <f t="shared" si="4"/>
        <v>Side</v>
      </c>
      <c r="H102" s="71"/>
      <c r="I102" s="72" t="str">
        <f t="shared" si="5"/>
        <v/>
      </c>
      <c r="R102" s="45">
        <f t="shared" si="6"/>
        <v>12</v>
      </c>
      <c r="S102" s="45">
        <f t="shared" si="7"/>
        <v>0</v>
      </c>
      <c r="T102" s="73" t="str">
        <f t="shared" si="8"/>
        <v>Side</v>
      </c>
    </row>
    <row r="103" spans="1:20" x14ac:dyDescent="0.25">
      <c r="C103" s="67">
        <f>IF(E103&lt;1,0,IF(INT(E103*100)=INT(E102*100),C102,4))</f>
        <v>4</v>
      </c>
      <c r="D103" s="68">
        <f>IF(OR(C103&lt;1,H103&lt;&gt;"",COUNTIF(T$100:T103,T103)&gt;3),"",VLOOKUP(C103-COUNTA(H$100:H103),DD!$E$24:$F$49,2))</f>
        <v>11</v>
      </c>
      <c r="E103" s="69">
        <f>IF(LARGE($R$2:$R$25,4)&lt;1,0,LARGE($R$2:$R$25,4))</f>
        <v>108.900002</v>
      </c>
      <c r="F103" s="70" t="str">
        <f t="shared" si="3"/>
        <v>Laurent Terreault</v>
      </c>
      <c r="G103" s="68" t="str">
        <f t="shared" si="4"/>
        <v>WLRC</v>
      </c>
      <c r="H103" s="71"/>
      <c r="I103" s="72" t="str">
        <f t="shared" si="5"/>
        <v/>
      </c>
      <c r="R103" s="45">
        <f t="shared" si="6"/>
        <v>0</v>
      </c>
      <c r="S103" s="45">
        <f t="shared" si="7"/>
        <v>0</v>
      </c>
      <c r="T103" s="73" t="str">
        <f t="shared" si="8"/>
        <v>WLRC</v>
      </c>
    </row>
    <row r="104" spans="1:20" x14ac:dyDescent="0.25">
      <c r="C104" s="67">
        <f>IF(E104&lt;1,0,IF(INT(E104*100)=INT(E103*100),C103,5))</f>
        <v>5</v>
      </c>
      <c r="D104" s="68">
        <f>IF(OR(C104&lt;1,H104&lt;&gt;"",COUNTIF(T$100:T104,T104)&gt;3),"",VLOOKUP(C104-COUNTA(H$100:H104),DD!$E$24:$F$49,2))</f>
        <v>10</v>
      </c>
      <c r="E104" s="69">
        <f>IF(LARGE($R$2:$R$25,5)&lt;1,0,LARGE($R$2:$R$25,5))</f>
        <v>97.600000999999992</v>
      </c>
      <c r="F104" s="70" t="str">
        <f t="shared" si="3"/>
        <v>Luke Myles</v>
      </c>
      <c r="G104" s="68" t="str">
        <f t="shared" si="4"/>
        <v>VIK</v>
      </c>
      <c r="H104" s="71"/>
      <c r="I104" s="72" t="str">
        <f t="shared" si="5"/>
        <v/>
      </c>
      <c r="R104" s="45">
        <f t="shared" si="6"/>
        <v>0</v>
      </c>
      <c r="S104" s="45">
        <f t="shared" si="7"/>
        <v>0</v>
      </c>
      <c r="T104" s="73" t="str">
        <f t="shared" si="8"/>
        <v>VIK</v>
      </c>
    </row>
    <row r="105" spans="1:20" x14ac:dyDescent="0.25">
      <c r="C105" s="67">
        <f>IF(E105&lt;1,0,IF(INT(E105*100)=INT(E104*100),C104,6))</f>
        <v>6</v>
      </c>
      <c r="D105" s="68">
        <f>IF(OR(C105&lt;1,H105&lt;&gt;"",COUNTIF(T$100:T105,T105)&gt;3),"",VLOOKUP(C105-COUNTA(H$100:H105),DD!$E$24:$F$49,2))</f>
        <v>9</v>
      </c>
      <c r="E105" s="69">
        <f>IF(LARGE($R$2:$R$25,6)&lt;1,0,LARGE($R$2:$R$25,6))</f>
        <v>84.450009999999992</v>
      </c>
      <c r="F105" s="70" t="str">
        <f t="shared" si="3"/>
        <v xml:space="preserve">Evan Bibby </v>
      </c>
      <c r="G105" s="68" t="str">
        <f t="shared" si="4"/>
        <v>HCP</v>
      </c>
      <c r="H105" s="71"/>
      <c r="I105" s="72" t="str">
        <f t="shared" si="5"/>
        <v>TIE</v>
      </c>
      <c r="R105" s="45">
        <f t="shared" si="6"/>
        <v>0</v>
      </c>
      <c r="S105" s="45">
        <f t="shared" si="7"/>
        <v>0</v>
      </c>
      <c r="T105" s="73" t="str">
        <f t="shared" si="8"/>
        <v>HCP</v>
      </c>
    </row>
    <row r="106" spans="1:20" x14ac:dyDescent="0.25">
      <c r="C106" s="67">
        <f>IF(E106&lt;1,0,IF(INT(E106*100)=INT(E105*100),C105,7))</f>
        <v>6</v>
      </c>
      <c r="D106" s="68">
        <f>IF(OR(C106&lt;1,H106&lt;&gt;"",COUNTIF(T$100:T106,T106)&gt;3),"",VLOOKUP(C106-COUNTA(H$100:H106),DD!$E$24:$F$49,2))</f>
        <v>9</v>
      </c>
      <c r="E106" s="69">
        <f>IF(LARGE($R$2:$R$25,7)&lt;1,0,LARGE($R$2:$R$25,7))</f>
        <v>84.450007999999983</v>
      </c>
      <c r="F106" s="70" t="str">
        <f t="shared" si="3"/>
        <v>Nicolas Charland</v>
      </c>
      <c r="G106" s="68" t="str">
        <f t="shared" si="4"/>
        <v>HCP</v>
      </c>
      <c r="H106" s="71"/>
      <c r="I106" s="72" t="str">
        <f t="shared" si="5"/>
        <v>TIE</v>
      </c>
      <c r="R106" s="45">
        <f t="shared" si="6"/>
        <v>0</v>
      </c>
      <c r="S106" s="45">
        <f t="shared" si="7"/>
        <v>0</v>
      </c>
      <c r="T106" s="73" t="str">
        <f t="shared" si="8"/>
        <v>HCP</v>
      </c>
    </row>
    <row r="107" spans="1:20" x14ac:dyDescent="0.25">
      <c r="C107" s="67">
        <f>IF(E107&lt;1,0,IF(INT(E107*100)=INT(E106*100),C106,8))</f>
        <v>8</v>
      </c>
      <c r="D107" s="68">
        <f>IF(OR(C107&lt;1,H107&lt;&gt;"",COUNTIF(T$100:T107,T107)&gt;3),"",VLOOKUP(C107-COUNTA(H$100:H107),DD!$E$24:$F$49,2))</f>
        <v>5</v>
      </c>
      <c r="E107" s="69">
        <f>IF(LARGE($R$2:$R$25,8)&lt;1,0,LARGE($R$2:$R$25,8))</f>
        <v>58.600009</v>
      </c>
      <c r="F107" s="70" t="str">
        <f t="shared" si="3"/>
        <v>Maurizio Mercuri</v>
      </c>
      <c r="G107" s="68" t="str">
        <f t="shared" si="4"/>
        <v>WLRC</v>
      </c>
      <c r="H107" s="71"/>
      <c r="I107" s="72" t="str">
        <f t="shared" si="5"/>
        <v/>
      </c>
      <c r="R107" s="45">
        <f t="shared" si="6"/>
        <v>0</v>
      </c>
      <c r="S107" s="45">
        <f t="shared" si="7"/>
        <v>0</v>
      </c>
      <c r="T107" s="73" t="str">
        <f t="shared" si="8"/>
        <v>WLRC</v>
      </c>
    </row>
    <row r="108" spans="1:20" x14ac:dyDescent="0.25">
      <c r="C108" s="67">
        <f>IF(E108&lt;1,0,IF(INT(E108*100)=INT(E107*100),C107,9))</f>
        <v>0</v>
      </c>
      <c r="D108" s="68" t="str">
        <f>IF(OR(C108&lt;1,H108&lt;&gt;"",COUNTIF(T$100:T108,T108)&gt;3),"",VLOOKUP(C108-COUNTA(H$100:H108),DD!$E$24:$F$49,2))</f>
        <v/>
      </c>
      <c r="E108" s="69">
        <f>IF(LARGE($R$2:$R$25,9)&lt;1,0,LARGE($R$2:$R$25,9))</f>
        <v>0</v>
      </c>
      <c r="F108" s="70">
        <f t="shared" si="3"/>
        <v>0</v>
      </c>
      <c r="G108" s="68">
        <f t="shared" si="4"/>
        <v>0</v>
      </c>
      <c r="H108" s="71"/>
      <c r="I108" s="72" t="str">
        <f t="shared" si="5"/>
        <v/>
      </c>
      <c r="R108" s="45">
        <f t="shared" si="6"/>
        <v>0</v>
      </c>
      <c r="S108" s="45">
        <f t="shared" si="7"/>
        <v>0</v>
      </c>
      <c r="T108" s="73" t="str">
        <f t="shared" si="8"/>
        <v>0</v>
      </c>
    </row>
    <row r="109" spans="1:20" x14ac:dyDescent="0.25">
      <c r="C109" s="67">
        <f>IF(E109&lt;1,0,IF(INT(E109*100)=INT(E108*100),C108,10))</f>
        <v>0</v>
      </c>
      <c r="D109" s="68" t="str">
        <f>IF(OR(C109&lt;1,H109&lt;&gt;"",COUNTIF(T$100:T109,T109)&gt;3),"",VLOOKUP(C109-COUNTA(H$100:H109),DD!$E$24:$F$49,2))</f>
        <v/>
      </c>
      <c r="E109" s="69">
        <f>IF(LARGE($R$2:$R$25,10)&lt;1,0,LARGE($R$2:$R$25,10))</f>
        <v>0</v>
      </c>
      <c r="F109" s="70">
        <f t="shared" si="3"/>
        <v>0</v>
      </c>
      <c r="G109" s="68">
        <f t="shared" si="4"/>
        <v>0</v>
      </c>
      <c r="H109" s="71"/>
      <c r="I109" s="72" t="str">
        <f t="shared" si="5"/>
        <v/>
      </c>
      <c r="R109" s="45">
        <f t="shared" si="6"/>
        <v>0</v>
      </c>
      <c r="S109" s="45">
        <f t="shared" si="7"/>
        <v>0</v>
      </c>
      <c r="T109" s="73" t="str">
        <f t="shared" si="8"/>
        <v>0</v>
      </c>
    </row>
    <row r="110" spans="1:20" x14ac:dyDescent="0.25">
      <c r="C110" s="67">
        <f>IF(E110&lt;1,0,IF(INT(E110*100)=INT(E109*100),C109,11))</f>
        <v>0</v>
      </c>
      <c r="D110" s="68" t="str">
        <f>IF(OR(C110&lt;1,H110&lt;&gt;"",COUNTIF(T$100:T110,T110)&gt;3),"",VLOOKUP(C110-COUNTA(H$100:H110),DD!$E$24:$F$49,2))</f>
        <v/>
      </c>
      <c r="E110" s="69">
        <f>IF(LARGE($R$2:$R$25,11)&lt;1,0,LARGE($R$2:$R$25,11))</f>
        <v>0</v>
      </c>
      <c r="F110" s="70">
        <f t="shared" si="3"/>
        <v>0</v>
      </c>
      <c r="G110" s="68">
        <f t="shared" si="4"/>
        <v>0</v>
      </c>
      <c r="H110" s="71"/>
      <c r="I110" s="72" t="str">
        <f t="shared" si="5"/>
        <v/>
      </c>
      <c r="R110" s="45">
        <f t="shared" si="6"/>
        <v>0</v>
      </c>
      <c r="S110" s="45">
        <f t="shared" si="7"/>
        <v>0</v>
      </c>
      <c r="T110" s="73" t="str">
        <f t="shared" si="8"/>
        <v>0</v>
      </c>
    </row>
    <row r="111" spans="1:20" x14ac:dyDescent="0.25">
      <c r="C111" s="67">
        <f>IF(E111&lt;1,0,IF(INT(E111*100)=INT(E110*100),C110,12))</f>
        <v>0</v>
      </c>
      <c r="D111" s="68" t="str">
        <f>IF(OR(C111&lt;1,H111&lt;&gt;"",COUNTIF(T$100:T111,T111)&gt;3),"",VLOOKUP(C111-COUNTA(H$100:H111),DD!$E$24:$F$49,2))</f>
        <v/>
      </c>
      <c r="E111" s="69">
        <f>IF(LARGE($R$2:$R$25,12)&lt;1,0,LARGE($R$2:$R$25,12))</f>
        <v>0</v>
      </c>
      <c r="F111" s="70">
        <f t="shared" si="3"/>
        <v>0</v>
      </c>
      <c r="G111" s="68">
        <f t="shared" si="4"/>
        <v>0</v>
      </c>
      <c r="H111" s="71"/>
      <c r="I111" s="72" t="str">
        <f t="shared" si="5"/>
        <v/>
      </c>
      <c r="R111" s="45">
        <f t="shared" si="6"/>
        <v>0</v>
      </c>
      <c r="S111" s="45">
        <f t="shared" si="7"/>
        <v>0</v>
      </c>
      <c r="T111" s="73" t="str">
        <f t="shared" si="8"/>
        <v>0</v>
      </c>
    </row>
    <row r="112" spans="1:20" x14ac:dyDescent="0.25">
      <c r="C112" s="67">
        <f>IF(E112&lt;1,0,IF(INT(E112*100)=INT(E111*100),C111,13))</f>
        <v>0</v>
      </c>
      <c r="D112" s="68" t="str">
        <f>IF(OR(C112&lt;1,H112&lt;&gt;"",COUNTIF(T$100:T112,T112)&gt;3),"",VLOOKUP(C112-COUNTA(H$100:H112),DD!$E$24:$F$49,2))</f>
        <v/>
      </c>
      <c r="E112" s="69">
        <f>IF(LARGE($R$2:$R$25,13)&lt;1,0,LARGE($R$2:$R$25,13))</f>
        <v>0</v>
      </c>
      <c r="F112" s="70">
        <f t="shared" si="3"/>
        <v>0</v>
      </c>
      <c r="G112" s="68">
        <f t="shared" si="4"/>
        <v>0</v>
      </c>
      <c r="H112" s="71"/>
      <c r="I112" s="72" t="str">
        <f t="shared" si="5"/>
        <v/>
      </c>
      <c r="R112" s="45">
        <f t="shared" si="6"/>
        <v>0</v>
      </c>
      <c r="S112" s="45">
        <f t="shared" si="7"/>
        <v>0</v>
      </c>
      <c r="T112" s="73" t="str">
        <f t="shared" si="8"/>
        <v>0</v>
      </c>
    </row>
    <row r="113" spans="3:20" x14ac:dyDescent="0.25">
      <c r="C113" s="67">
        <f>IF(E113&lt;1,0,IF(INT(E113*100)=INT(E112*100),C112,14))</f>
        <v>0</v>
      </c>
      <c r="D113" s="68" t="str">
        <f>IF(OR(C113&lt;1,H113&lt;&gt;"",COUNTIF(T$100:T113,T113)&gt;3),"",VLOOKUP(C113-COUNTA(H$100:H113),DD!$E$24:$F$49,2))</f>
        <v/>
      </c>
      <c r="E113" s="69">
        <f>IF(LARGE($R$2:$R$25,14)&lt;1,0,LARGE($R$2:$R$25,14))</f>
        <v>0</v>
      </c>
      <c r="F113" s="70">
        <f t="shared" si="3"/>
        <v>0</v>
      </c>
      <c r="G113" s="68">
        <f t="shared" si="4"/>
        <v>0</v>
      </c>
      <c r="H113" s="71"/>
      <c r="I113" s="72" t="str">
        <f t="shared" si="5"/>
        <v/>
      </c>
      <c r="R113" s="45">
        <f t="shared" si="6"/>
        <v>0</v>
      </c>
      <c r="S113" s="45">
        <f t="shared" si="7"/>
        <v>0</v>
      </c>
      <c r="T113" s="73" t="str">
        <f t="shared" si="8"/>
        <v>0</v>
      </c>
    </row>
    <row r="114" spans="3:20" x14ac:dyDescent="0.25">
      <c r="C114" s="67">
        <f>IF(E114&lt;1,0,IF(INT(E114*100)=INT(E113*100),C113,15))</f>
        <v>0</v>
      </c>
      <c r="D114" s="68" t="str">
        <f>IF(OR(C114&lt;1,H114&lt;&gt;"",COUNTIF(T$100:T114,T114)&gt;3),"",VLOOKUP(C114-COUNTA(H$100:H114),DD!$E$24:$F$49,2))</f>
        <v/>
      </c>
      <c r="E114" s="69">
        <f>IF(LARGE($R$2:$R$25,15)&lt;1,0,LARGE($R$2:$R$25,15))</f>
        <v>0</v>
      </c>
      <c r="F114" s="70">
        <f t="shared" si="3"/>
        <v>0</v>
      </c>
      <c r="G114" s="68">
        <f t="shared" si="4"/>
        <v>0</v>
      </c>
      <c r="H114" s="71"/>
      <c r="I114" s="72" t="str">
        <f t="shared" si="5"/>
        <v/>
      </c>
      <c r="R114" s="45">
        <f t="shared" si="6"/>
        <v>0</v>
      </c>
      <c r="S114" s="45">
        <f t="shared" si="7"/>
        <v>0</v>
      </c>
      <c r="T114" s="73" t="str">
        <f t="shared" si="8"/>
        <v>0</v>
      </c>
    </row>
    <row r="115" spans="3:20" x14ac:dyDescent="0.25">
      <c r="C115" s="67">
        <f>IF(E115&lt;1,0,IF(INT(E115*100)=INT(E114*100),C114,16))</f>
        <v>0</v>
      </c>
      <c r="D115" s="68" t="str">
        <f>IF(OR(C115&lt;1,H115&lt;&gt;"",COUNTIF(T$100:T115,T115)&gt;3),"",VLOOKUP(C115-COUNTA(H$100:H115),DD!$E$24:$F$49,2))</f>
        <v/>
      </c>
      <c r="E115" s="69">
        <f>IF(LARGE($R$2:$R$25,16)&lt;1,0,LARGE($R$2:$R$25,16))</f>
        <v>0</v>
      </c>
      <c r="F115" s="70">
        <f t="shared" si="3"/>
        <v>0</v>
      </c>
      <c r="G115" s="68">
        <f t="shared" si="4"/>
        <v>0</v>
      </c>
      <c r="H115" s="71"/>
      <c r="I115" s="72" t="str">
        <f t="shared" si="5"/>
        <v/>
      </c>
      <c r="R115" s="45">
        <f t="shared" si="6"/>
        <v>0</v>
      </c>
      <c r="S115" s="45">
        <f t="shared" si="7"/>
        <v>0</v>
      </c>
      <c r="T115" s="73" t="str">
        <f t="shared" si="8"/>
        <v>0</v>
      </c>
    </row>
    <row r="116" spans="3:20" x14ac:dyDescent="0.25">
      <c r="C116" s="67">
        <f>IF(E116&lt;1,0,IF(INT(E116*100)=INT(E115*100),C115,17))</f>
        <v>0</v>
      </c>
      <c r="D116" s="68" t="str">
        <f>IF(OR(C116&lt;1,H116&lt;&gt;"",COUNTIF(T$100:T116,T116)&gt;3),"",VLOOKUP(C116-COUNTA(H$100:H116),DD!$E$24:$F$49,2))</f>
        <v/>
      </c>
      <c r="E116" s="69">
        <f>IF(LARGE($R$2:$R$25,17)&lt;1,0,LARGE($R$2:$R$25,17))</f>
        <v>0</v>
      </c>
      <c r="F116" s="70">
        <f t="shared" si="3"/>
        <v>0</v>
      </c>
      <c r="G116" s="68">
        <f t="shared" si="4"/>
        <v>0</v>
      </c>
      <c r="H116" s="71"/>
      <c r="I116" s="72" t="str">
        <f t="shared" si="5"/>
        <v/>
      </c>
      <c r="R116" s="45">
        <f t="shared" si="6"/>
        <v>0</v>
      </c>
      <c r="S116" s="45">
        <f t="shared" si="7"/>
        <v>0</v>
      </c>
      <c r="T116" s="73" t="str">
        <f t="shared" si="8"/>
        <v>0</v>
      </c>
    </row>
    <row r="117" spans="3:20" x14ac:dyDescent="0.25">
      <c r="C117" s="67">
        <f>IF(E117&lt;1,0,IF(INT(E117*100)=INT(E116*100),C116,18))</f>
        <v>0</v>
      </c>
      <c r="D117" s="68" t="str">
        <f>IF(OR(C117&lt;1,H117&lt;&gt;"",COUNTIF(T$100:T117,T117)&gt;3),"",VLOOKUP(C117-COUNTA(H$100:H117),DD!$E$24:$F$49,2))</f>
        <v/>
      </c>
      <c r="E117" s="69">
        <f>IF(LARGE($R$2:$R$25,18)&lt;1,0,LARGE($R$2:$R$25,18))</f>
        <v>0</v>
      </c>
      <c r="F117" s="70">
        <f t="shared" si="3"/>
        <v>0</v>
      </c>
      <c r="G117" s="68">
        <f t="shared" si="4"/>
        <v>0</v>
      </c>
      <c r="H117" s="71"/>
      <c r="I117" s="72" t="str">
        <f t="shared" si="5"/>
        <v/>
      </c>
      <c r="R117" s="45">
        <f t="shared" si="6"/>
        <v>0</v>
      </c>
      <c r="S117" s="45">
        <f t="shared" si="7"/>
        <v>0</v>
      </c>
      <c r="T117" s="73" t="str">
        <f t="shared" si="8"/>
        <v>0</v>
      </c>
    </row>
    <row r="118" spans="3:20" x14ac:dyDescent="0.25">
      <c r="C118" s="67">
        <f>IF(E118&lt;1,0,IF(INT(E118*100)=INT(E117*100),C117,19))</f>
        <v>0</v>
      </c>
      <c r="D118" s="68" t="str">
        <f>IF(OR(C118&lt;1,H118&lt;&gt;"",COUNTIF(T$100:T118,T118)&gt;3),"",VLOOKUP(C118-COUNTA(H$100:H118),DD!$E$24:$F$49,2))</f>
        <v/>
      </c>
      <c r="E118" s="69">
        <f>IF(LARGE($R$2:$R$25,19)&lt;1,0,LARGE($R$2:$R$25,19))</f>
        <v>0</v>
      </c>
      <c r="F118" s="70">
        <f t="shared" si="3"/>
        <v>0</v>
      </c>
      <c r="G118" s="68">
        <f t="shared" si="4"/>
        <v>0</v>
      </c>
      <c r="H118" s="71"/>
      <c r="I118" s="72" t="str">
        <f t="shared" si="5"/>
        <v/>
      </c>
      <c r="R118" s="45">
        <f t="shared" si="6"/>
        <v>0</v>
      </c>
      <c r="S118" s="45">
        <f t="shared" si="7"/>
        <v>0</v>
      </c>
      <c r="T118" s="73" t="str">
        <f t="shared" si="8"/>
        <v>0</v>
      </c>
    </row>
    <row r="119" spans="3:20" x14ac:dyDescent="0.25">
      <c r="C119" s="67">
        <f>IF(E119&lt;1,0,IF(INT(E119*100)=INT(E118*100),C118,20))</f>
        <v>0</v>
      </c>
      <c r="D119" s="68" t="str">
        <f>IF(OR(C119&lt;1,H119&lt;&gt;"",COUNTIF(T$100:T119,T119)&gt;3),"",VLOOKUP(C119-COUNTA(H$100:H119),DD!$E$24:$F$49,2))</f>
        <v/>
      </c>
      <c r="E119" s="69">
        <f>IF(LARGE($R$2:$R$25,20)&lt;1,0,LARGE($R$2:$R$25,20))</f>
        <v>0</v>
      </c>
      <c r="F119" s="70">
        <f t="shared" si="3"/>
        <v>0</v>
      </c>
      <c r="G119" s="68">
        <f t="shared" si="4"/>
        <v>0</v>
      </c>
      <c r="H119" s="71"/>
      <c r="I119" s="72" t="str">
        <f t="shared" si="5"/>
        <v/>
      </c>
      <c r="R119" s="45">
        <f t="shared" si="6"/>
        <v>0</v>
      </c>
      <c r="S119" s="45">
        <f t="shared" si="7"/>
        <v>0</v>
      </c>
      <c r="T119" s="73" t="str">
        <f t="shared" si="8"/>
        <v>0</v>
      </c>
    </row>
    <row r="120" spans="3:20" x14ac:dyDescent="0.25">
      <c r="C120" s="67">
        <f>IF(E120&lt;1,0,IF(INT(E120*100)=INT(E119*100),C119,21))</f>
        <v>0</v>
      </c>
      <c r="D120" s="68" t="str">
        <f>IF(OR(C120&lt;1,H120&lt;&gt;"",COUNTIF(T$100:T120,T120)&gt;3),"",VLOOKUP(C120-COUNTA(H$100:H120),DD!$E$24:$F$49,2))</f>
        <v/>
      </c>
      <c r="E120" s="69">
        <f>IF(LARGE($R$2:$R$25,21)&lt;1,0,LARGE($R$2:$R$25,21))</f>
        <v>0</v>
      </c>
      <c r="F120" s="70">
        <f t="shared" si="3"/>
        <v>0</v>
      </c>
      <c r="G120" s="68">
        <f t="shared" si="4"/>
        <v>0</v>
      </c>
      <c r="H120" s="71"/>
      <c r="I120" s="72" t="str">
        <f t="shared" si="5"/>
        <v/>
      </c>
      <c r="R120" s="45">
        <f t="shared" si="6"/>
        <v>0</v>
      </c>
      <c r="S120" s="45">
        <f t="shared" si="7"/>
        <v>0</v>
      </c>
      <c r="T120" s="73" t="str">
        <f t="shared" si="8"/>
        <v>0</v>
      </c>
    </row>
    <row r="121" spans="3:20" x14ac:dyDescent="0.25">
      <c r="C121" s="67">
        <f>IF(E121&lt;1,0,IF(INT(E121*100)=INT(E120*100),C120,22))</f>
        <v>0</v>
      </c>
      <c r="D121" s="68" t="str">
        <f>IF(OR(C121&lt;1,H121&lt;&gt;"",COUNTIF(T$100:T121,T121)&gt;3),"",VLOOKUP(C121-COUNTA(H$100:H121),DD!$E$24:$F$49,2))</f>
        <v/>
      </c>
      <c r="E121" s="69">
        <f>IF(LARGE($R$2:$R$25,22)&lt;1,0,LARGE($R$2:$R$25,22))</f>
        <v>0</v>
      </c>
      <c r="F121" s="70">
        <f t="shared" si="3"/>
        <v>0</v>
      </c>
      <c r="G121" s="68">
        <f t="shared" si="4"/>
        <v>0</v>
      </c>
      <c r="H121" s="71"/>
      <c r="I121" s="72" t="str">
        <f t="shared" si="5"/>
        <v/>
      </c>
      <c r="R121" s="45">
        <f t="shared" si="6"/>
        <v>0</v>
      </c>
      <c r="S121" s="45">
        <f t="shared" si="7"/>
        <v>0</v>
      </c>
      <c r="T121" s="73" t="str">
        <f t="shared" si="8"/>
        <v>0</v>
      </c>
    </row>
    <row r="122" spans="3:20" x14ac:dyDescent="0.25">
      <c r="C122" s="67">
        <f>IF(E122&lt;1,0,IF(INT(E122*100)=INT(E121*100),C121,23))</f>
        <v>0</v>
      </c>
      <c r="D122" s="68" t="str">
        <f>IF(OR(C122&lt;1,H122&lt;&gt;"",COUNTIF(T$100:T122,T122)&gt;3),"",VLOOKUP(C122-COUNTA(H$100:H122),DD!$E$24:$F$49,2))</f>
        <v/>
      </c>
      <c r="E122" s="69">
        <f>IF(LARGE($R$2:$R$25,23)&lt;1,0,LARGE($R$2:$R$25,23))</f>
        <v>0</v>
      </c>
      <c r="F122" s="70">
        <f t="shared" si="3"/>
        <v>0</v>
      </c>
      <c r="G122" s="68">
        <f t="shared" si="4"/>
        <v>0</v>
      </c>
      <c r="H122" s="71"/>
      <c r="I122" s="72" t="str">
        <f t="shared" si="5"/>
        <v/>
      </c>
      <c r="R122" s="45">
        <f t="shared" si="6"/>
        <v>0</v>
      </c>
      <c r="S122" s="45">
        <f t="shared" si="7"/>
        <v>0</v>
      </c>
      <c r="T122" s="73" t="str">
        <f t="shared" si="8"/>
        <v>0</v>
      </c>
    </row>
    <row r="123" spans="3:20" x14ac:dyDescent="0.25">
      <c r="C123" s="67">
        <f>IF(E123&lt;1,0,IF(INT(E123*100)=INT(E122*100),C122,24))</f>
        <v>0</v>
      </c>
      <c r="D123" s="68" t="str">
        <f>IF(OR(C123&lt;1,H123&lt;&gt;"",COUNTIF(T$100:T123,T123)&gt;3),"",VLOOKUP(C123-COUNTA(H$100:H123),DD!$E$24:$F$49,2))</f>
        <v/>
      </c>
      <c r="E123" s="69">
        <f>IF(LARGE($R$2:$R$25,24)&lt;1,0,LARGE($R$2:$R$25,24))</f>
        <v>0</v>
      </c>
      <c r="F123" s="70">
        <f t="shared" si="3"/>
        <v>0</v>
      </c>
      <c r="G123" s="68">
        <f t="shared" si="4"/>
        <v>0</v>
      </c>
      <c r="H123" s="71"/>
      <c r="I123" s="72" t="str">
        <f>IF(AND(C123=C122,C123&lt;&gt;0),"TIE","")</f>
        <v/>
      </c>
      <c r="R123" s="45">
        <f t="shared" si="6"/>
        <v>0</v>
      </c>
      <c r="S123" s="45">
        <f t="shared" si="7"/>
        <v>0</v>
      </c>
      <c r="T123" s="73" t="str">
        <f t="shared" si="8"/>
        <v>0</v>
      </c>
    </row>
    <row r="124" spans="3:20" x14ac:dyDescent="0.25">
      <c r="C124" s="74"/>
      <c r="D124" s="75"/>
      <c r="E124" s="76"/>
      <c r="F124" s="77"/>
      <c r="G124" s="75"/>
      <c r="H124" s="78"/>
      <c r="I124" s="79"/>
    </row>
  </sheetData>
  <sheetProtection sheet="1" objects="1" scenarios="1"/>
  <mergeCells count="70">
    <mergeCell ref="A2:A5"/>
    <mergeCell ref="B2:B5"/>
    <mergeCell ref="C2:C5"/>
    <mergeCell ref="A6:A9"/>
    <mergeCell ref="B6:B9"/>
    <mergeCell ref="C6:C9"/>
    <mergeCell ref="A10:A13"/>
    <mergeCell ref="A14:A17"/>
    <mergeCell ref="B14:B17"/>
    <mergeCell ref="C14:C17"/>
    <mergeCell ref="A18:A21"/>
    <mergeCell ref="B18:B21"/>
    <mergeCell ref="C18:C21"/>
    <mergeCell ref="A22:A25"/>
    <mergeCell ref="B22:B25"/>
    <mergeCell ref="C22:C25"/>
    <mergeCell ref="A26:A29"/>
    <mergeCell ref="B26:B29"/>
    <mergeCell ref="C26:C29"/>
    <mergeCell ref="A30:A33"/>
    <mergeCell ref="B30:B33"/>
    <mergeCell ref="C30:C3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0:A53"/>
    <mergeCell ref="B50:B53"/>
    <mergeCell ref="C50:C53"/>
    <mergeCell ref="A54:A57"/>
    <mergeCell ref="B54:B57"/>
    <mergeCell ref="C54:C57"/>
    <mergeCell ref="A58:A61"/>
    <mergeCell ref="B58:B61"/>
    <mergeCell ref="C58:C61"/>
    <mergeCell ref="A62:A65"/>
    <mergeCell ref="B62:B65"/>
    <mergeCell ref="C62:C65"/>
    <mergeCell ref="A66:A69"/>
    <mergeCell ref="B66:B69"/>
    <mergeCell ref="C66:C69"/>
    <mergeCell ref="A70:A73"/>
    <mergeCell ref="B70:B73"/>
    <mergeCell ref="C70:C73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</mergeCells>
  <conditionalFormatting sqref="G3">
    <cfRule type="expression" dxfId="795" priority="32">
      <formula>IF(SUM(G2:G3)&gt;3.7,1,0)</formula>
    </cfRule>
  </conditionalFormatting>
  <conditionalFormatting sqref="G2">
    <cfRule type="expression" dxfId="794" priority="33">
      <formula>IF(SUM(G2:G3)&gt;3.7,1,0)</formula>
    </cfRule>
  </conditionalFormatting>
  <conditionalFormatting sqref="G7">
    <cfRule type="expression" dxfId="790" priority="37">
      <formula>IF(SUM(G6:G7)&gt;3.7,1,0)</formula>
    </cfRule>
  </conditionalFormatting>
  <conditionalFormatting sqref="G6">
    <cfRule type="expression" dxfId="789" priority="38">
      <formula>IF(SUM(G6:G7)&gt;3.7,1,0)</formula>
    </cfRule>
  </conditionalFormatting>
  <conditionalFormatting sqref="G11">
    <cfRule type="expression" dxfId="785" priority="42">
      <formula>IF(SUM(G10:G11)&gt;3.7,1,0)</formula>
    </cfRule>
  </conditionalFormatting>
  <conditionalFormatting sqref="G10">
    <cfRule type="expression" dxfId="784" priority="43">
      <formula>IF(SUM(G10:G11)&gt;3.7,1,0)</formula>
    </cfRule>
  </conditionalFormatting>
  <conditionalFormatting sqref="G15">
    <cfRule type="expression" dxfId="780" priority="47">
      <formula>IF(SUM(G14:G15)&gt;3.7,1,0)</formula>
    </cfRule>
  </conditionalFormatting>
  <conditionalFormatting sqref="G14">
    <cfRule type="expression" dxfId="779" priority="48">
      <formula>IF(SUM(G14:G15)&gt;3.7,1,0)</formula>
    </cfRule>
  </conditionalFormatting>
  <conditionalFormatting sqref="G19">
    <cfRule type="expression" dxfId="775" priority="52">
      <formula>IF(SUM(G18:G19)&gt;3.7,1,0)</formula>
    </cfRule>
  </conditionalFormatting>
  <conditionalFormatting sqref="G18">
    <cfRule type="expression" dxfId="774" priority="53">
      <formula>IF(SUM(G18:G19)&gt;3.7,1,0)</formula>
    </cfRule>
  </conditionalFormatting>
  <conditionalFormatting sqref="G23">
    <cfRule type="expression" dxfId="770" priority="57">
      <formula>IF(SUM(G22:G23)&gt;3.7,1,0)</formula>
    </cfRule>
  </conditionalFormatting>
  <conditionalFormatting sqref="G22">
    <cfRule type="expression" dxfId="769" priority="58">
      <formula>IF(SUM(G22:G23)&gt;3.7,1,0)</formula>
    </cfRule>
  </conditionalFormatting>
  <conditionalFormatting sqref="G27">
    <cfRule type="expression" dxfId="765" priority="62">
      <formula>IF(SUM(G26:G27)&gt;3.7,1,0)</formula>
    </cfRule>
  </conditionalFormatting>
  <conditionalFormatting sqref="G26">
    <cfRule type="expression" dxfId="764" priority="63">
      <formula>IF(SUM(G26:G27)&gt;3.7,1,0)</formula>
    </cfRule>
  </conditionalFormatting>
  <conditionalFormatting sqref="G31">
    <cfRule type="expression" dxfId="760" priority="67">
      <formula>IF(SUM(G30:G31)&gt;3.7,1,0)</formula>
    </cfRule>
  </conditionalFormatting>
  <conditionalFormatting sqref="G30">
    <cfRule type="expression" dxfId="759" priority="68">
      <formula>IF(SUM(G30:G31)&gt;3.7,1,0)</formula>
    </cfRule>
  </conditionalFormatting>
  <conditionalFormatting sqref="G35">
    <cfRule type="expression" dxfId="755" priority="72">
      <formula>IF(SUM(G34:G35)&gt;3.7,1,0)</formula>
    </cfRule>
  </conditionalFormatting>
  <conditionalFormatting sqref="G34">
    <cfRule type="expression" dxfId="754" priority="73">
      <formula>IF(SUM(G34:G35)&gt;3.7,1,0)</formula>
    </cfRule>
  </conditionalFormatting>
  <conditionalFormatting sqref="G39">
    <cfRule type="expression" dxfId="750" priority="77">
      <formula>IF(SUM(G38:G39)&gt;3.7,1,0)</formula>
    </cfRule>
  </conditionalFormatting>
  <conditionalFormatting sqref="G38">
    <cfRule type="expression" dxfId="749" priority="78">
      <formula>IF(SUM(G38:G39)&gt;3.7,1,0)</formula>
    </cfRule>
  </conditionalFormatting>
  <conditionalFormatting sqref="G43">
    <cfRule type="expression" dxfId="745" priority="82">
      <formula>IF(SUM(G42:G43)&gt;3.7,1,0)</formula>
    </cfRule>
  </conditionalFormatting>
  <conditionalFormatting sqref="G42">
    <cfRule type="expression" dxfId="744" priority="83">
      <formula>IF(SUM(G42:G43)&gt;3.7,1,0)</formula>
    </cfRule>
  </conditionalFormatting>
  <conditionalFormatting sqref="E43">
    <cfRule type="expression" dxfId="743" priority="84">
      <formula>IF(E43="",0,IF(LEFT(E43,1)=LEFT(E42,1),1,0))</formula>
    </cfRule>
  </conditionalFormatting>
  <conditionalFormatting sqref="E45">
    <cfRule type="expression" dxfId="742" priority="85">
      <formula>IF(E45="",0,IF(OR(LEFT(E45,LEN(E45)-1)=LEFT(E44,LEN(E44)-1),LEFT(E45,LEN(E45)-1)=LEFT(E43,LEN(E43)-1),LEFT(E45,LEN(E45)-1)=LEFT(E42,LEN(E42)-1),LEFT(E45,1)=LEFT(E44,1)),1,0))</formula>
    </cfRule>
  </conditionalFormatting>
  <conditionalFormatting sqref="E44">
    <cfRule type="expression" dxfId="741" priority="86">
      <formula>IF(E44="",0,IF(OR(LEFT(E44,LEN(E44)-1)=LEFT(E43,LEN(E43)-1),LEFT(E44,LEN(E44)-1)=LEFT(E42,LEN(E42)-1)),1,0))</formula>
    </cfRule>
  </conditionalFormatting>
  <conditionalFormatting sqref="G47">
    <cfRule type="expression" dxfId="740" priority="87">
      <formula>IF(SUM(G46:G47)&gt;3.7,1,0)</formula>
    </cfRule>
  </conditionalFormatting>
  <conditionalFormatting sqref="G46">
    <cfRule type="expression" dxfId="739" priority="88">
      <formula>IF(SUM(G46:G47)&gt;3.7,1,0)</formula>
    </cfRule>
  </conditionalFormatting>
  <conditionalFormatting sqref="E47">
    <cfRule type="expression" dxfId="738" priority="89">
      <formula>IF(E47="",0,IF(LEFT(E47,1)=LEFT(E46,1),1,0))</formula>
    </cfRule>
  </conditionalFormatting>
  <conditionalFormatting sqref="E49">
    <cfRule type="expression" dxfId="737" priority="90">
      <formula>IF(E49="",0,IF(OR(LEFT(E49,LEN(E49)-1)=LEFT(E48,LEN(E48)-1),LEFT(E49,LEN(E49)-1)=LEFT(E47,LEN(E47)-1),LEFT(E49,LEN(E49)-1)=LEFT(E46,LEN(E46)-1),LEFT(E49,1)=LEFT(E48,1)),1,0))</formula>
    </cfRule>
  </conditionalFormatting>
  <conditionalFormatting sqref="E48">
    <cfRule type="expression" dxfId="736" priority="91">
      <formula>IF(E48="",0,IF(OR(LEFT(E48,LEN(E48)-1)=LEFT(E47,LEN(E47)-1),LEFT(E48,LEN(E48)-1)=LEFT(E46,LEN(E46)-1)),1,0))</formula>
    </cfRule>
  </conditionalFormatting>
  <conditionalFormatting sqref="G51">
    <cfRule type="expression" dxfId="735" priority="92">
      <formula>IF(SUM(G50:G51)&gt;3.7,1,0)</formula>
    </cfRule>
  </conditionalFormatting>
  <conditionalFormatting sqref="G50">
    <cfRule type="expression" dxfId="734" priority="93">
      <formula>IF(SUM(G50:G51)&gt;3.7,1,0)</formula>
    </cfRule>
  </conditionalFormatting>
  <conditionalFormatting sqref="E51">
    <cfRule type="expression" dxfId="733" priority="94">
      <formula>IF(E51="",0,IF(LEFT(E51,1)=LEFT(E50,1),1,0))</formula>
    </cfRule>
  </conditionalFormatting>
  <conditionalFormatting sqref="E53">
    <cfRule type="expression" dxfId="732" priority="95">
      <formula>IF(E53="",0,IF(OR(LEFT(E53,LEN(E53)-1)=LEFT(E52,LEN(E52)-1),LEFT(E53,LEN(E53)-1)=LEFT(E51,LEN(E51)-1),LEFT(E53,LEN(E53)-1)=LEFT(E50,LEN(E50)-1),LEFT(E53,1)=LEFT(E52,1)),1,0))</formula>
    </cfRule>
  </conditionalFormatting>
  <conditionalFormatting sqref="E52">
    <cfRule type="expression" dxfId="731" priority="96">
      <formula>IF(E52="",0,IF(OR(LEFT(E52,LEN(E52)-1)=LEFT(E51,LEN(E51)-1),LEFT(E52,LEN(E52)-1)=LEFT(E50,LEN(E50)-1)),1,0))</formula>
    </cfRule>
  </conditionalFormatting>
  <conditionalFormatting sqref="G55">
    <cfRule type="expression" dxfId="730" priority="97">
      <formula>IF(SUM(G54:G55)&gt;3.7,1,0)</formula>
    </cfRule>
  </conditionalFormatting>
  <conditionalFormatting sqref="G54">
    <cfRule type="expression" dxfId="729" priority="98">
      <formula>IF(SUM(G54:G55)&gt;3.7,1,0)</formula>
    </cfRule>
  </conditionalFormatting>
  <conditionalFormatting sqref="E55">
    <cfRule type="expression" dxfId="728" priority="99">
      <formula>IF(E55="",0,IF(LEFT(E55,1)=LEFT(E54,1),1,0))</formula>
    </cfRule>
  </conditionalFormatting>
  <conditionalFormatting sqref="E57">
    <cfRule type="expression" dxfId="727" priority="100">
      <formula>IF(E57="",0,IF(OR(LEFT(E57,LEN(E57)-1)=LEFT(E56,LEN(E56)-1),LEFT(E57,LEN(E57)-1)=LEFT(E55,LEN(E55)-1),LEFT(E57,LEN(E57)-1)=LEFT(E54,LEN(E54)-1),LEFT(E57,1)=LEFT(E56,1)),1,0))</formula>
    </cfRule>
  </conditionalFormatting>
  <conditionalFormatting sqref="E56">
    <cfRule type="expression" dxfId="726" priority="101">
      <formula>IF(E56="",0,IF(OR(LEFT(E56,LEN(E56)-1)=LEFT(E55,LEN(E55)-1),LEFT(E56,LEN(E56)-1)=LEFT(E54,LEN(E54)-1)),1,0))</formula>
    </cfRule>
  </conditionalFormatting>
  <conditionalFormatting sqref="G59">
    <cfRule type="expression" dxfId="725" priority="102">
      <formula>IF(SUM(G58:G59)&gt;3.7,1,0)</formula>
    </cfRule>
  </conditionalFormatting>
  <conditionalFormatting sqref="G58">
    <cfRule type="expression" dxfId="724" priority="103">
      <formula>IF(SUM(G58:G59)&gt;3.7,1,0)</formula>
    </cfRule>
  </conditionalFormatting>
  <conditionalFormatting sqref="E59">
    <cfRule type="expression" dxfId="723" priority="104">
      <formula>IF(E59="",0,IF(LEFT(E59,1)=LEFT(E58,1),1,0))</formula>
    </cfRule>
  </conditionalFormatting>
  <conditionalFormatting sqref="E61">
    <cfRule type="expression" dxfId="722" priority="105">
      <formula>IF(E61="",0,IF(OR(LEFT(E61,LEN(E61)-1)=LEFT(E60,LEN(E60)-1),LEFT(E61,LEN(E61)-1)=LEFT(E59,LEN(E59)-1),LEFT(E61,LEN(E61)-1)=LEFT(E58,LEN(E58)-1),LEFT(E61,1)=LEFT(E60,1)),1,0))</formula>
    </cfRule>
  </conditionalFormatting>
  <conditionalFormatting sqref="E60">
    <cfRule type="expression" dxfId="721" priority="106">
      <formula>IF(E60="",0,IF(OR(LEFT(E60,LEN(E60)-1)=LEFT(E59,LEN(E59)-1),LEFT(E60,LEN(E60)-1)=LEFT(E58,LEN(E58)-1)),1,0))</formula>
    </cfRule>
  </conditionalFormatting>
  <conditionalFormatting sqref="G63">
    <cfRule type="expression" dxfId="720" priority="107">
      <formula>IF(SUM(G62:G63)&gt;3.7,1,0)</formula>
    </cfRule>
  </conditionalFormatting>
  <conditionalFormatting sqref="G62">
    <cfRule type="expression" dxfId="719" priority="108">
      <formula>IF(SUM(G62:G63)&gt;3.7,1,0)</formula>
    </cfRule>
  </conditionalFormatting>
  <conditionalFormatting sqref="E63">
    <cfRule type="expression" dxfId="718" priority="109">
      <formula>IF(E63="",0,IF(LEFT(E63,1)=LEFT(E62,1),1,0))</formula>
    </cfRule>
  </conditionalFormatting>
  <conditionalFormatting sqref="E65">
    <cfRule type="expression" dxfId="717" priority="110">
      <formula>IF(E65="",0,IF(OR(LEFT(E65,LEN(E65)-1)=LEFT(E64,LEN(E64)-1),LEFT(E65,LEN(E65)-1)=LEFT(E63,LEN(E63)-1),LEFT(E65,LEN(E65)-1)=LEFT(E62,LEN(E62)-1),LEFT(E65,1)=LEFT(E64,1)),1,0))</formula>
    </cfRule>
  </conditionalFormatting>
  <conditionalFormatting sqref="E64">
    <cfRule type="expression" dxfId="716" priority="111">
      <formula>IF(E64="",0,IF(OR(LEFT(E64,LEN(E64)-1)=LEFT(E63,LEN(E63)-1),LEFT(E64,LEN(E64)-1)=LEFT(E62,LEN(E62)-1)),1,0))</formula>
    </cfRule>
  </conditionalFormatting>
  <conditionalFormatting sqref="G67">
    <cfRule type="expression" dxfId="715" priority="112">
      <formula>IF(SUM(G66:G67)&gt;3.7,1,0)</formula>
    </cfRule>
  </conditionalFormatting>
  <conditionalFormatting sqref="G66">
    <cfRule type="expression" dxfId="714" priority="113">
      <formula>IF(SUM(G66:G67)&gt;3.7,1,0)</formula>
    </cfRule>
  </conditionalFormatting>
  <conditionalFormatting sqref="E67">
    <cfRule type="expression" dxfId="713" priority="114">
      <formula>IF(E67="",0,IF(LEFT(E67,1)=LEFT(E66,1),1,0))</formula>
    </cfRule>
  </conditionalFormatting>
  <conditionalFormatting sqref="E69">
    <cfRule type="expression" dxfId="712" priority="115">
      <formula>IF(E69="",0,IF(OR(LEFT(E69,LEN(E69)-1)=LEFT(E68,LEN(E68)-1),LEFT(E69,LEN(E69)-1)=LEFT(E67,LEN(E67)-1),LEFT(E69,LEN(E69)-1)=LEFT(E66,LEN(E66)-1),LEFT(E69,1)=LEFT(E68,1)),1,0))</formula>
    </cfRule>
  </conditionalFormatting>
  <conditionalFormatting sqref="E68">
    <cfRule type="expression" dxfId="711" priority="116">
      <formula>IF(E68="",0,IF(OR(LEFT(E68,LEN(E68)-1)=LEFT(E67,LEN(E67)-1),LEFT(E68,LEN(E68)-1)=LEFT(E66,LEN(E66)-1)),1,0))</formula>
    </cfRule>
  </conditionalFormatting>
  <conditionalFormatting sqref="G71">
    <cfRule type="expression" dxfId="710" priority="117">
      <formula>IF(SUM(G70:G71)&gt;3.7,1,0)</formula>
    </cfRule>
  </conditionalFormatting>
  <conditionalFormatting sqref="G70">
    <cfRule type="expression" dxfId="709" priority="118">
      <formula>IF(SUM(G70:G71)&gt;3.7,1,0)</formula>
    </cfRule>
  </conditionalFormatting>
  <conditionalFormatting sqref="E71">
    <cfRule type="expression" dxfId="708" priority="119">
      <formula>IF(E71="",0,IF(LEFT(E71,1)=LEFT(E70,1),1,0))</formula>
    </cfRule>
  </conditionalFormatting>
  <conditionalFormatting sqref="E73">
    <cfRule type="expression" dxfId="707" priority="120">
      <formula>IF(E73="",0,IF(OR(LEFT(E73,LEN(E73)-1)=LEFT(E72,LEN(E72)-1),LEFT(E73,LEN(E73)-1)=LEFT(E71,LEN(E71)-1),LEFT(E73,LEN(E73)-1)=LEFT(E70,LEN(E70)-1),LEFT(E73,1)=LEFT(E72,1)),1,0))</formula>
    </cfRule>
  </conditionalFormatting>
  <conditionalFormatting sqref="E72">
    <cfRule type="expression" dxfId="706" priority="121">
      <formula>IF(E72="",0,IF(OR(LEFT(E72,LEN(E72)-1)=LEFT(E71,LEN(E71)-1),LEFT(E72,LEN(E72)-1)=LEFT(E70,LEN(E70)-1)),1,0))</formula>
    </cfRule>
  </conditionalFormatting>
  <conditionalFormatting sqref="G75">
    <cfRule type="expression" dxfId="705" priority="122">
      <formula>IF(SUM(G74:G75)&gt;3.7,1,0)</formula>
    </cfRule>
  </conditionalFormatting>
  <conditionalFormatting sqref="G74">
    <cfRule type="expression" dxfId="704" priority="123">
      <formula>IF(SUM(G74:G75)&gt;3.7,1,0)</formula>
    </cfRule>
  </conditionalFormatting>
  <conditionalFormatting sqref="E75">
    <cfRule type="expression" dxfId="703" priority="124">
      <formula>IF(E75="",0,IF(LEFT(E75,1)=LEFT(E74,1),1,0))</formula>
    </cfRule>
  </conditionalFormatting>
  <conditionalFormatting sqref="E77">
    <cfRule type="expression" dxfId="702" priority="125">
      <formula>IF(E77="",0,IF(OR(LEFT(E77,LEN(E77)-1)=LEFT(E76,LEN(E76)-1),LEFT(E77,LEN(E77)-1)=LEFT(E75,LEN(E75)-1),LEFT(E77,LEN(E77)-1)=LEFT(E74,LEN(E74)-1),LEFT(E77,1)=LEFT(E76,1)),1,0))</formula>
    </cfRule>
  </conditionalFormatting>
  <conditionalFormatting sqref="E76">
    <cfRule type="expression" dxfId="701" priority="126">
      <formula>IF(E76="",0,IF(OR(LEFT(E76,LEN(E76)-1)=LEFT(E75,LEN(E75)-1),LEFT(E76,LEN(E76)-1)=LEFT(E74,LEN(E74)-1)),1,0))</formula>
    </cfRule>
  </conditionalFormatting>
  <conditionalFormatting sqref="G79">
    <cfRule type="expression" dxfId="700" priority="127">
      <formula>IF(SUM(G78:G79)&gt;3.7,1,0)</formula>
    </cfRule>
  </conditionalFormatting>
  <conditionalFormatting sqref="G78">
    <cfRule type="expression" dxfId="699" priority="128">
      <formula>IF(SUM(G78:G79)&gt;3.7,1,0)</formula>
    </cfRule>
  </conditionalFormatting>
  <conditionalFormatting sqref="E79">
    <cfRule type="expression" dxfId="698" priority="129">
      <formula>IF(E79="",0,IF(LEFT(E79,1)=LEFT(E78,1),1,0))</formula>
    </cfRule>
  </conditionalFormatting>
  <conditionalFormatting sqref="E81">
    <cfRule type="expression" dxfId="697" priority="130">
      <formula>IF(E81="",0,IF(OR(LEFT(E81,LEN(E81)-1)=LEFT(E80,LEN(E80)-1),LEFT(E81,LEN(E81)-1)=LEFT(E79,LEN(E79)-1),LEFT(E81,LEN(E81)-1)=LEFT(E78,LEN(E78)-1),LEFT(E81,1)=LEFT(E80,1)),1,0))</formula>
    </cfRule>
  </conditionalFormatting>
  <conditionalFormatting sqref="E80">
    <cfRule type="expression" dxfId="696" priority="131">
      <formula>IF(E80="",0,IF(OR(LEFT(E80,LEN(E80)-1)=LEFT(E79,LEN(E79)-1),LEFT(E80,LEN(E80)-1)=LEFT(E78,LEN(E78)-1)),1,0))</formula>
    </cfRule>
  </conditionalFormatting>
  <conditionalFormatting sqref="G83">
    <cfRule type="expression" dxfId="695" priority="132">
      <formula>IF(SUM(G82:G83)&gt;3.7,1,0)</formula>
    </cfRule>
  </conditionalFormatting>
  <conditionalFormatting sqref="G82">
    <cfRule type="expression" dxfId="694" priority="133">
      <formula>IF(SUM(G82:G83)&gt;3.7,1,0)</formula>
    </cfRule>
  </conditionalFormatting>
  <conditionalFormatting sqref="E83">
    <cfRule type="expression" dxfId="693" priority="134">
      <formula>IF(E83="",0,IF(LEFT(E83,1)=LEFT(E82,1),1,0))</formula>
    </cfRule>
  </conditionalFormatting>
  <conditionalFormatting sqref="E85">
    <cfRule type="expression" dxfId="692" priority="135">
      <formula>IF(E85="",0,IF(OR(LEFT(E85,LEN(E85)-1)=LEFT(E84,LEN(E84)-1),LEFT(E85,LEN(E85)-1)=LEFT(E83,LEN(E83)-1),LEFT(E85,LEN(E85)-1)=LEFT(E82,LEN(E82)-1),LEFT(E85,1)=LEFT(E84,1)),1,0))</formula>
    </cfRule>
  </conditionalFormatting>
  <conditionalFormatting sqref="E84">
    <cfRule type="expression" dxfId="691" priority="136">
      <formula>IF(E84="",0,IF(OR(LEFT(E84,LEN(E84)-1)=LEFT(E83,LEN(E83)-1),LEFT(E84,LEN(E84)-1)=LEFT(E82,LEN(E82)-1)),1,0))</formula>
    </cfRule>
  </conditionalFormatting>
  <conditionalFormatting sqref="G87">
    <cfRule type="expression" dxfId="690" priority="137">
      <formula>IF(SUM(G86:G87)&gt;3.7,1,0)</formula>
    </cfRule>
  </conditionalFormatting>
  <conditionalFormatting sqref="G86">
    <cfRule type="expression" dxfId="689" priority="138">
      <formula>IF(SUM(G86:G87)&gt;3.7,1,0)</formula>
    </cfRule>
  </conditionalFormatting>
  <conditionalFormatting sqref="E87">
    <cfRule type="expression" dxfId="688" priority="139">
      <formula>IF(E87="",0,IF(LEFT(E87,1)=LEFT(E86,1),1,0))</formula>
    </cfRule>
  </conditionalFormatting>
  <conditionalFormatting sqref="E89">
    <cfRule type="expression" dxfId="687" priority="140">
      <formula>IF(E89="",0,IF(OR(LEFT(E89,LEN(E89)-1)=LEFT(E88,LEN(E88)-1),LEFT(E89,LEN(E89)-1)=LEFT(E87,LEN(E87)-1),LEFT(E89,LEN(E89)-1)=LEFT(E86,LEN(E86)-1),LEFT(E89,1)=LEFT(E88,1)),1,0))</formula>
    </cfRule>
  </conditionalFormatting>
  <conditionalFormatting sqref="E88">
    <cfRule type="expression" dxfId="686" priority="141">
      <formula>IF(E88="",0,IF(OR(LEFT(E88,LEN(E88)-1)=LEFT(E87,LEN(E87)-1),LEFT(E88,LEN(E88)-1)=LEFT(E86,LEN(E86)-1)),1,0))</formula>
    </cfRule>
  </conditionalFormatting>
  <conditionalFormatting sqref="G91">
    <cfRule type="expression" dxfId="685" priority="142">
      <formula>IF(SUM(G90:G91)&gt;3.7,1,0)</formula>
    </cfRule>
  </conditionalFormatting>
  <conditionalFormatting sqref="G90">
    <cfRule type="expression" dxfId="684" priority="143">
      <formula>IF(SUM(G90:G91)&gt;3.7,1,0)</formula>
    </cfRule>
  </conditionalFormatting>
  <conditionalFormatting sqref="E91">
    <cfRule type="expression" dxfId="683" priority="144">
      <formula>IF(E91="",0,IF(LEFT(E91,1)=LEFT(E90,1),1,0))</formula>
    </cfRule>
  </conditionalFormatting>
  <conditionalFormatting sqref="E93">
    <cfRule type="expression" dxfId="682" priority="145">
      <formula>IF(E93="",0,IF(OR(LEFT(E93,LEN(E93)-1)=LEFT(E92,LEN(E92)-1),LEFT(E93,LEN(E93)-1)=LEFT(E91,LEN(E91)-1),LEFT(E93,LEN(E93)-1)=LEFT(E90,LEN(E90)-1),LEFT(E93,1)=LEFT(E92,1)),1,0))</formula>
    </cfRule>
  </conditionalFormatting>
  <conditionalFormatting sqref="E92">
    <cfRule type="expression" dxfId="681" priority="146">
      <formula>IF(E92="",0,IF(OR(LEFT(E92,LEN(E92)-1)=LEFT(E91,LEN(E91)-1),LEFT(E92,LEN(E92)-1)=LEFT(E90,LEN(E90)-1)),1,0))</formula>
    </cfRule>
  </conditionalFormatting>
  <conditionalFormatting sqref="G95">
    <cfRule type="expression" dxfId="680" priority="147">
      <formula>IF(SUM(G94:G95)&gt;3.7,1,0)</formula>
    </cfRule>
  </conditionalFormatting>
  <conditionalFormatting sqref="G94">
    <cfRule type="expression" dxfId="679" priority="148">
      <formula>IF(SUM(G94:G95)&gt;3.7,1,0)</formula>
    </cfRule>
  </conditionalFormatting>
  <conditionalFormatting sqref="E95">
    <cfRule type="expression" dxfId="678" priority="149">
      <formula>IF(E95="",0,IF(LEFT(E95,1)=LEFT(E94,1),1,0))</formula>
    </cfRule>
  </conditionalFormatting>
  <conditionalFormatting sqref="E97">
    <cfRule type="expression" dxfId="677" priority="150">
      <formula>IF(E97="",0,IF(OR(LEFT(E97,LEN(E97)-1)=LEFT(E96,LEN(E96)-1),LEFT(E97,LEN(E97)-1)=LEFT(E95,LEN(E95)-1),LEFT(E97,LEN(E97)-1)=LEFT(E94,LEN(E94)-1),LEFT(E97,1)=LEFT(E96,1)),1,0))</formula>
    </cfRule>
  </conditionalFormatting>
  <conditionalFormatting sqref="E96">
    <cfRule type="expression" dxfId="676" priority="151">
      <formula>IF(E96="",0,IF(OR(LEFT(E96,LEN(E96)-1)=LEFT(E95,LEN(E95)-1),LEFT(E96,LEN(E96)-1)=LEFT(E94,LEN(E94)-1)),1,0))</formula>
    </cfRule>
  </conditionalFormatting>
  <conditionalFormatting sqref="E3">
    <cfRule type="expression" dxfId="163" priority="30">
      <formula>IF(E3="",FALSE,IF(LEFT(E3,1)=LEFT(E2,1),TRUE,FALSE))</formula>
    </cfRule>
  </conditionalFormatting>
  <conditionalFormatting sqref="E5">
    <cfRule type="expression" dxfId="161" priority="28">
      <formula>IF(E5="",FALSE,IF(OR(LEFT(E5,LEN(E5)-1)=LEFT(E4,LEN(E4)-1),LEFT(E5,LEN(E5)-1)=LEFT(E3,LEN(E3)-1),LEFT(E5,LEN(E5)-1)=LEFT(E2,LEN(E2)-1),LEFT(E5,1)=LEFT(E4,1)),TRUE,FALSE))</formula>
    </cfRule>
  </conditionalFormatting>
  <conditionalFormatting sqref="E4">
    <cfRule type="expression" dxfId="159" priority="29">
      <formula>IF(E4="",FALSE,IF(OR(LEFT(E4,LEN(E4)-1)=LEFT(E3,LEN(E3)-1),LEFT(E4,LEN(E4)-1)=LEFT(E2,LEN(E2)-1)),TRUE,FALSE))</formula>
    </cfRule>
  </conditionalFormatting>
  <conditionalFormatting sqref="E7">
    <cfRule type="expression" dxfId="157" priority="27">
      <formula>IF(E7="",FALSE,IF(LEFT(E7,1)=LEFT(E6,1),TRUE,FALSE))</formula>
    </cfRule>
  </conditionalFormatting>
  <conditionalFormatting sqref="E9">
    <cfRule type="expression" dxfId="155" priority="25">
      <formula>IF(E9="",FALSE,IF(OR(LEFT(E9,LEN(E9)-1)=LEFT(E8,LEN(E8)-1),LEFT(E9,LEN(E9)-1)=LEFT(E7,LEN(E7)-1),LEFT(E9,LEN(E9)-1)=LEFT(E6,LEN(E6)-1),LEFT(E9,1)=LEFT(E8,1)),TRUE,FALSE))</formula>
    </cfRule>
  </conditionalFormatting>
  <conditionalFormatting sqref="E8">
    <cfRule type="expression" dxfId="153" priority="26">
      <formula>IF(E8="",FALSE,IF(OR(LEFT(E8,LEN(E8)-1)=LEFT(E7,LEN(E7)-1),LEFT(E8,LEN(E8)-1)=LEFT(E6,LEN(E6)-1)),TRUE,FALSE))</formula>
    </cfRule>
  </conditionalFormatting>
  <conditionalFormatting sqref="E11">
    <cfRule type="expression" dxfId="151" priority="24">
      <formula>IF(E11="",FALSE,IF(LEFT(E11,1)=LEFT(E10,1),TRUE,FALSE))</formula>
    </cfRule>
  </conditionalFormatting>
  <conditionalFormatting sqref="E13">
    <cfRule type="expression" dxfId="149" priority="22">
      <formula>IF(E13="",FALSE,IF(OR(LEFT(E13,LEN(E13)-1)=LEFT(E12,LEN(E12)-1),LEFT(E13,LEN(E13)-1)=LEFT(E11,LEN(E11)-1),LEFT(E13,LEN(E13)-1)=LEFT(E10,LEN(E10)-1),LEFT(E13,1)=LEFT(E12,1)),TRUE,FALSE))</formula>
    </cfRule>
  </conditionalFormatting>
  <conditionalFormatting sqref="E12">
    <cfRule type="expression" dxfId="147" priority="23">
      <formula>IF(E12="",FALSE,IF(OR(LEFT(E12,LEN(E12)-1)=LEFT(E11,LEN(E11)-1),LEFT(E12,LEN(E12)-1)=LEFT(E10,LEN(E10)-1)),TRUE,FALSE))</formula>
    </cfRule>
  </conditionalFormatting>
  <conditionalFormatting sqref="E15">
    <cfRule type="expression" dxfId="145" priority="21">
      <formula>IF(E15="",FALSE,IF(LEFT(E15,1)=LEFT(E14,1),TRUE,FALSE))</formula>
    </cfRule>
  </conditionalFormatting>
  <conditionalFormatting sqref="E17">
    <cfRule type="expression" dxfId="143" priority="19">
      <formula>IF(E17="",FALSE,IF(OR(LEFT(E17,LEN(E17)-1)=LEFT(E16,LEN(E16)-1),LEFT(E17,LEN(E17)-1)=LEFT(E15,LEN(E15)-1),LEFT(E17,LEN(E17)-1)=LEFT(E14,LEN(E14)-1),LEFT(E17,1)=LEFT(E16,1)),TRUE,FALSE))</formula>
    </cfRule>
  </conditionalFormatting>
  <conditionalFormatting sqref="E16">
    <cfRule type="expression" dxfId="141" priority="20">
      <formula>IF(E16="",FALSE,IF(OR(LEFT(E16,LEN(E16)-1)=LEFT(E15,LEN(E15)-1),LEFT(E16,LEN(E16)-1)=LEFT(E14,LEN(E14)-1)),TRUE,FALSE))</formula>
    </cfRule>
  </conditionalFormatting>
  <conditionalFormatting sqref="E19">
    <cfRule type="expression" dxfId="139" priority="18">
      <formula>IF(E19="",FALSE,IF(LEFT(E19,1)=LEFT(E18,1),TRUE,FALSE))</formula>
    </cfRule>
  </conditionalFormatting>
  <conditionalFormatting sqref="E21">
    <cfRule type="expression" dxfId="137" priority="16">
      <formula>IF(E21="",FALSE,IF(OR(LEFT(E21,LEN(E21)-1)=LEFT(E20,LEN(E20)-1),LEFT(E21,LEN(E21)-1)=LEFT(E19,LEN(E19)-1),LEFT(E21,LEN(E21)-1)=LEFT(E18,LEN(E18)-1),LEFT(E21,1)=LEFT(E20,1)),TRUE,FALSE))</formula>
    </cfRule>
  </conditionalFormatting>
  <conditionalFormatting sqref="E20">
    <cfRule type="expression" dxfId="135" priority="17">
      <formula>IF(E20="",FALSE,IF(OR(LEFT(E20,LEN(E20)-1)=LEFT(E19,LEN(E19)-1),LEFT(E20,LEN(E20)-1)=LEFT(E18,LEN(E18)-1)),TRUE,FALSE))</formula>
    </cfRule>
  </conditionalFormatting>
  <conditionalFormatting sqref="E23">
    <cfRule type="expression" dxfId="133" priority="15">
      <formula>IF(E23="",FALSE,IF(LEFT(E23,1)=LEFT(E22,1),TRUE,FALSE))</formula>
    </cfRule>
  </conditionalFormatting>
  <conditionalFormatting sqref="E25">
    <cfRule type="expression" dxfId="131" priority="13">
      <formula>IF(E25="",FALSE,IF(OR(LEFT(E25,LEN(E25)-1)=LEFT(E24,LEN(E24)-1),LEFT(E25,LEN(E25)-1)=LEFT(E23,LEN(E23)-1),LEFT(E25,LEN(E25)-1)=LEFT(E22,LEN(E22)-1),LEFT(E25,1)=LEFT(E24,1)),TRUE,FALSE))</formula>
    </cfRule>
  </conditionalFormatting>
  <conditionalFormatting sqref="E24">
    <cfRule type="expression" dxfId="129" priority="14">
      <formula>IF(E24="",FALSE,IF(OR(LEFT(E24,LEN(E24)-1)=LEFT(E23,LEN(E23)-1),LEFT(E24,LEN(E24)-1)=LEFT(E22,LEN(E22)-1)),TRUE,FALSE))</formula>
    </cfRule>
  </conditionalFormatting>
  <conditionalFormatting sqref="E27">
    <cfRule type="expression" dxfId="127" priority="12">
      <formula>IF(E27="",FALSE,IF(LEFT(E27,1)=LEFT(E26,1),TRUE,FALSE))</formula>
    </cfRule>
  </conditionalFormatting>
  <conditionalFormatting sqref="E29">
    <cfRule type="expression" dxfId="125" priority="10">
      <formula>IF(E29="",FALSE,IF(OR(LEFT(E29,LEN(E29)-1)=LEFT(E28,LEN(E28)-1),LEFT(E29,LEN(E29)-1)=LEFT(E27,LEN(E27)-1),LEFT(E29,LEN(E29)-1)=LEFT(E26,LEN(E26)-1),LEFT(E29,1)=LEFT(E28,1)),TRUE,FALSE))</formula>
    </cfRule>
  </conditionalFormatting>
  <conditionalFormatting sqref="E28">
    <cfRule type="expression" dxfId="123" priority="11">
      <formula>IF(E28="",FALSE,IF(OR(LEFT(E28,LEN(E28)-1)=LEFT(E27,LEN(E27)-1),LEFT(E28,LEN(E28)-1)=LEFT(E26,LEN(E26)-1)),TRUE,FALSE))</formula>
    </cfRule>
  </conditionalFormatting>
  <conditionalFormatting sqref="E31">
    <cfRule type="expression" dxfId="121" priority="9">
      <formula>IF(E31="",FALSE,IF(LEFT(E31,1)=LEFT(E30,1),TRUE,FALSE))</formula>
    </cfRule>
  </conditionalFormatting>
  <conditionalFormatting sqref="E33">
    <cfRule type="expression" dxfId="119" priority="7">
      <formula>IF(E33="",FALSE,IF(OR(LEFT(E33,LEN(E33)-1)=LEFT(E32,LEN(E32)-1),LEFT(E33,LEN(E33)-1)=LEFT(E31,LEN(E31)-1),LEFT(E33,LEN(E33)-1)=LEFT(E30,LEN(E30)-1),LEFT(E33,1)=LEFT(E32,1)),TRUE,FALSE))</formula>
    </cfRule>
  </conditionalFormatting>
  <conditionalFormatting sqref="E32">
    <cfRule type="expression" dxfId="117" priority="8">
      <formula>IF(E32="",FALSE,IF(OR(LEFT(E32,LEN(E32)-1)=LEFT(E31,LEN(E31)-1),LEFT(E32,LEN(E32)-1)=LEFT(E30,LEN(E30)-1)),TRUE,FALSE))</formula>
    </cfRule>
  </conditionalFormatting>
  <conditionalFormatting sqref="E35">
    <cfRule type="expression" dxfId="115" priority="6">
      <formula>IF(E35="",FALSE,IF(LEFT(E35,1)=LEFT(E34,1),TRUE,FALSE))</formula>
    </cfRule>
  </conditionalFormatting>
  <conditionalFormatting sqref="E37">
    <cfRule type="expression" dxfId="113" priority="4">
      <formula>IF(E37="",FALSE,IF(OR(LEFT(E37,LEN(E37)-1)=LEFT(E36,LEN(E36)-1),LEFT(E37,LEN(E37)-1)=LEFT(E35,LEN(E35)-1),LEFT(E37,LEN(E37)-1)=LEFT(E34,LEN(E34)-1),LEFT(E37,1)=LEFT(E36,1)),TRUE,FALSE))</formula>
    </cfRule>
  </conditionalFormatting>
  <conditionalFormatting sqref="E36">
    <cfRule type="expression" dxfId="111" priority="5">
      <formula>IF(E36="",FALSE,IF(OR(LEFT(E36,LEN(E36)-1)=LEFT(E35,LEN(E35)-1),LEFT(E36,LEN(E36)-1)=LEFT(E34,LEN(E34)-1)),TRUE,FALSE))</formula>
    </cfRule>
  </conditionalFormatting>
  <conditionalFormatting sqref="E39">
    <cfRule type="expression" dxfId="109" priority="3">
      <formula>IF(E39="",FALSE,IF(LEFT(E39,1)=LEFT(E38,1),TRUE,FALSE))</formula>
    </cfRule>
  </conditionalFormatting>
  <conditionalFormatting sqref="E41">
    <cfRule type="expression" dxfId="107" priority="1">
      <formula>IF(E41="",FALSE,IF(OR(LEFT(E41,LEN(E41)-1)=LEFT(E40,LEN(E40)-1),LEFT(E41,LEN(E41)-1)=LEFT(E39,LEN(E39)-1),LEFT(E41,LEN(E41)-1)=LEFT(E38,LEN(E38)-1),LEFT(E41,1)=LEFT(E40,1)),TRUE,FALSE))</formula>
    </cfRule>
  </conditionalFormatting>
  <conditionalFormatting sqref="E40">
    <cfRule type="expression" dxfId="105" priority="2">
      <formula>IF(E40="",FALSE,IF(OR(LEFT(E40,LEN(E40)-1)=LEFT(E39,LEN(E39)-1),LEFT(E40,LEN(E40)-1)=LEFT(E38,LEN(E38)-1)),TRUE,FALSE))</formula>
    </cfRule>
  </conditionalFormatting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errorTitle="Oops!" error="Please enter one of the pools in this competition">
          <x14:formula1>
            <xm:f>INFO!$B$4:$B$5</xm:f>
          </x14:formula1>
          <x14:formula2>
            <xm:f>0</xm:f>
          </x14:formula2>
          <xm:sqref>C2:C97</xm:sqref>
        </x14:dataValidation>
        <x14:dataValidation type="list" allowBlank="1" showDropDown="1" showErrorMessage="1" errorTitle="Invalid score" error="Oops!">
          <x14:formula1>
            <xm:f>DD!$G$24:$G$44</xm:f>
          </x14:formula1>
          <x14:formula2>
            <xm:f>0</xm:f>
          </x14:formula2>
          <xm:sqref>H2:L97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INFO</vt:lpstr>
      <vt:lpstr>-8G</vt:lpstr>
      <vt:lpstr>-8B</vt:lpstr>
      <vt:lpstr>9-10G</vt:lpstr>
      <vt:lpstr>9-10B</vt:lpstr>
      <vt:lpstr>11-12G</vt:lpstr>
      <vt:lpstr>11-12B</vt:lpstr>
      <vt:lpstr>13-14G</vt:lpstr>
      <vt:lpstr>13-14B</vt:lpstr>
      <vt:lpstr>15+G</vt:lpstr>
      <vt:lpstr>15+B</vt:lpstr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Field</dc:creator>
  <cp:lastModifiedBy>Kent Chown</cp:lastModifiedBy>
  <cp:revision>7</cp:revision>
  <dcterms:created xsi:type="dcterms:W3CDTF">2018-01-27T17:51:24Z</dcterms:created>
  <dcterms:modified xsi:type="dcterms:W3CDTF">2019-08-01T13:03:51Z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